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Y:\1. Carol\Editais\Pregão Eletrônico\2014\PE - 601-2014-(ANDAMENTO) - CPO - 01P34290-13 (Reforma sanitários prédio C IFGW)\Documentos\"/>
    </mc:Choice>
  </mc:AlternateContent>
  <bookViews>
    <workbookView xWindow="-30" yWindow="-60" windowWidth="11565" windowHeight="8970" firstSheet="1" activeTab="1"/>
  </bookViews>
  <sheets>
    <sheet name="Plan.Orç.-R01 (CPO)Anulada" sheetId="7" r:id="rId1"/>
    <sheet name="Planilha Vazia" sheetId="6" r:id="rId2"/>
  </sheets>
  <definedNames>
    <definedName name="AIR" localSheetId="0">#REF!</definedName>
    <definedName name="AIR">#REF!</definedName>
    <definedName name="_xlnm.Print_Area" localSheetId="0">'Plan.Orç.-R01 (CPO)Anulada'!$A$1:$K$250</definedName>
    <definedName name="_xlnm.Print_Area" localSheetId="1">'Planilha Vazia'!$A$1:$J$244</definedName>
    <definedName name="BILLING" localSheetId="0">#REF!</definedName>
    <definedName name="BILLING" localSheetId="1">#REF!</definedName>
    <definedName name="BILLING">#REF!</definedName>
    <definedName name="BOMPRINT" localSheetId="0">#REF!</definedName>
    <definedName name="BOMPRINT">#REF!</definedName>
    <definedName name="CalcReferencia" localSheetId="0">OFFSET('Plan.Orç.-R01 (CPO)Anulada'!Lst.Top,#REF!,-1,1,1)</definedName>
    <definedName name="CalcReferencia" localSheetId="1">OFFSET('Planilha Vazia'!Lst.Top,#REF!,-1,1,1)</definedName>
    <definedName name="CalcReferencia">OFFSET(Lst.Top,#REF!,-1,1,1)</definedName>
    <definedName name="CalcReferencia1" localSheetId="0">OFFSET('Plan.Orç.-R01 (CPO)Anulada'!Lst.Top1,#REF!,-1,1,1)</definedName>
    <definedName name="CalcReferencia1" localSheetId="1">OFFSET('Planilha Vazia'!Lst.Top1,#REF!,-1,1,1)</definedName>
    <definedName name="CalcReferencia1">OFFSET(Lst.Top1,#REF!,-1,1,1)</definedName>
    <definedName name="CHECKBOM" localSheetId="0">#REF!</definedName>
    <definedName name="CHECKBOM">#REF!</definedName>
    <definedName name="_xlnm.Criteria" localSheetId="0">#REF!</definedName>
    <definedName name="_xlnm.Criteria">#REF!</definedName>
    <definedName name="CRONOGRMA" localSheetId="0">OFFSET('Plan.Orç.-R01 (CPO)Anulada'!Lst.Top,#REF!,-1,1,1)</definedName>
    <definedName name="CRONOGRMA" localSheetId="1">OFFSET('Planilha Vazia'!Lst.Top,#REF!,-1,1,1)</definedName>
    <definedName name="CRONOGRMA">OFFSET([0]!Lst.Top,#REF!,-1,1,1)</definedName>
    <definedName name="DELETE1" localSheetId="0">#REF!</definedName>
    <definedName name="DELETE1" localSheetId="1">#REF!</definedName>
    <definedName name="DELETE1">#REF!</definedName>
    <definedName name="DELETE2" localSheetId="0">#REF!</definedName>
    <definedName name="DELETE2" localSheetId="1">#REF!</definedName>
    <definedName name="DELETE2">#REF!</definedName>
    <definedName name="DESCONTO" localSheetId="0">#REF!</definedName>
    <definedName name="DESCONTO">#REF!</definedName>
    <definedName name="DÓLAR" localSheetId="0">#REF!</definedName>
    <definedName name="DÓLAR">#REF!</definedName>
    <definedName name="ENC.FINANC" localSheetId="0">#REF!</definedName>
    <definedName name="ENC.FINANC">#REF!</definedName>
    <definedName name="EWO" localSheetId="0">#REF!</definedName>
    <definedName name="EWO" localSheetId="1">#REF!</definedName>
    <definedName name="EWO">#REF!</definedName>
    <definedName name="FIND.PART" localSheetId="0">#REF!</definedName>
    <definedName name="FIND.PART">#REF!</definedName>
    <definedName name="FINSOCIAL" localSheetId="0">#REF!</definedName>
    <definedName name="FINSOCIAL">#REF!</definedName>
    <definedName name="FRETE" localSheetId="0">#REF!</definedName>
    <definedName name="FRETE">#REF!</definedName>
    <definedName name="IBO" localSheetId="0">#REF!</definedName>
    <definedName name="IBO" localSheetId="1">#REF!</definedName>
    <definedName name="IBO">#REF!</definedName>
    <definedName name="INFO" localSheetId="0">#REF!</definedName>
    <definedName name="INFO">#REF!</definedName>
    <definedName name="insert1" localSheetId="0">#REF!</definedName>
    <definedName name="insert1" localSheetId="1">#REF!</definedName>
    <definedName name="insert1">#REF!</definedName>
    <definedName name="insert2" localSheetId="0">#REF!</definedName>
    <definedName name="insert2" localSheetId="1">#REF!</definedName>
    <definedName name="insert2">#REF!</definedName>
    <definedName name="IR" localSheetId="0">#REF!</definedName>
    <definedName name="IR">#REF!</definedName>
    <definedName name="ISS" localSheetId="0">#REF!</definedName>
    <definedName name="ISS">#REF!</definedName>
    <definedName name="ITC_D_379" localSheetId="0">#REF!</definedName>
    <definedName name="ITC_D_379">#REF!</definedName>
    <definedName name="IWO" localSheetId="0">#REF!</definedName>
    <definedName name="IWO" localSheetId="1">#REF!</definedName>
    <definedName name="IWO">#REF!</definedName>
    <definedName name="Lst.MatServ" localSheetId="0">#REF!</definedName>
    <definedName name="Lst.MatServ" localSheetId="1">#REF!</definedName>
    <definedName name="Lst.MatServ">#REF!</definedName>
    <definedName name="Lst.Position" localSheetId="0">#REF!</definedName>
    <definedName name="Lst.Position" localSheetId="1">#REF!</definedName>
    <definedName name="Lst.Position">#REF!</definedName>
    <definedName name="Lst.Tipo" localSheetId="0">#REF!</definedName>
    <definedName name="Lst.Tipo" localSheetId="1">#REF!</definedName>
    <definedName name="Lst.Tipo">#REF!</definedName>
    <definedName name="Lst.Top" localSheetId="0">#REF!</definedName>
    <definedName name="Lst.Top" localSheetId="1">#REF!</definedName>
    <definedName name="Lst.Top">#REF!</definedName>
    <definedName name="Lst.Top1" localSheetId="0">#REF!</definedName>
    <definedName name="Lst.Top1" localSheetId="1">#REF!</definedName>
    <definedName name="Lst.Top1">#REF!</definedName>
    <definedName name="M" localSheetId="0">#REF!</definedName>
    <definedName name="M" localSheetId="1">#REF!</definedName>
    <definedName name="M">#REF!</definedName>
    <definedName name="MARGEM" localSheetId="0">#REF!</definedName>
    <definedName name="MARGEM" localSheetId="1">#REF!</definedName>
    <definedName name="MARGEM">#REF!</definedName>
    <definedName name="MARGEM1" localSheetId="0">#REF!</definedName>
    <definedName name="MARGEM1" localSheetId="1">#REF!</definedName>
    <definedName name="MARGEM1">#REF!</definedName>
    <definedName name="MARGEM10" localSheetId="0">#REF!</definedName>
    <definedName name="MARGEM10" localSheetId="1">#REF!</definedName>
    <definedName name="MARGEM10">#REF!</definedName>
    <definedName name="MARGEM11" localSheetId="0">#REF!</definedName>
    <definedName name="MARGEM11" localSheetId="1">#REF!</definedName>
    <definedName name="MARGEM11">#REF!</definedName>
    <definedName name="MARGEM12" localSheetId="0">#REF!</definedName>
    <definedName name="MARGEM12" localSheetId="1">#REF!</definedName>
    <definedName name="MARGEM12">#REF!</definedName>
    <definedName name="MARGEM13" localSheetId="0">#REF!</definedName>
    <definedName name="MARGEM13" localSheetId="1">#REF!</definedName>
    <definedName name="MARGEM13">#REF!</definedName>
    <definedName name="MARGEM14" localSheetId="0">#REF!</definedName>
    <definedName name="MARGEM14" localSheetId="1">#REF!</definedName>
    <definedName name="MARGEM14">#REF!</definedName>
    <definedName name="MARGEM15" localSheetId="0">#REF!</definedName>
    <definedName name="MARGEM15" localSheetId="1">#REF!</definedName>
    <definedName name="MARGEM15">#REF!</definedName>
    <definedName name="MARGEM16" localSheetId="0">#REF!</definedName>
    <definedName name="MARGEM16" localSheetId="1">#REF!</definedName>
    <definedName name="MARGEM16">#REF!</definedName>
    <definedName name="MARGEM17" localSheetId="0">#REF!</definedName>
    <definedName name="MARGEM17" localSheetId="1">#REF!</definedName>
    <definedName name="MARGEM17">#REF!</definedName>
    <definedName name="MARGEM18" localSheetId="0">#REF!</definedName>
    <definedName name="MARGEM18" localSheetId="1">#REF!</definedName>
    <definedName name="MARGEM18">#REF!</definedName>
    <definedName name="MARGEM19" localSheetId="0">#REF!</definedName>
    <definedName name="MARGEM19" localSheetId="1">#REF!</definedName>
    <definedName name="MARGEM19">#REF!</definedName>
    <definedName name="MARGEM2" localSheetId="0">#REF!</definedName>
    <definedName name="MARGEM2" localSheetId="1">#REF!</definedName>
    <definedName name="MARGEM2">#REF!</definedName>
    <definedName name="MARGEM20" localSheetId="0">#REF!</definedName>
    <definedName name="MARGEM20" localSheetId="1">#REF!</definedName>
    <definedName name="MARGEM20">#REF!</definedName>
    <definedName name="MARGEM21" localSheetId="0">#REF!</definedName>
    <definedName name="MARGEM21" localSheetId="1">#REF!</definedName>
    <definedName name="MARGEM21">#REF!</definedName>
    <definedName name="MARGEM22" localSheetId="0">#REF!</definedName>
    <definedName name="MARGEM22" localSheetId="1">#REF!</definedName>
    <definedName name="MARGEM22">#REF!</definedName>
    <definedName name="MARGEM23" localSheetId="0">#REF!</definedName>
    <definedName name="MARGEM23" localSheetId="1">#REF!</definedName>
    <definedName name="MARGEM23">#REF!</definedName>
    <definedName name="MARGEM24" localSheetId="0">#REF!</definedName>
    <definedName name="MARGEM24" localSheetId="1">#REF!</definedName>
    <definedName name="MARGEM24">#REF!</definedName>
    <definedName name="MARGEM25" localSheetId="0">#REF!</definedName>
    <definedName name="MARGEM25" localSheetId="1">#REF!</definedName>
    <definedName name="MARGEM25">#REF!</definedName>
    <definedName name="MARGEM26" localSheetId="0">#REF!</definedName>
    <definedName name="MARGEM26" localSheetId="1">#REF!</definedName>
    <definedName name="MARGEM26">#REF!</definedName>
    <definedName name="MARGEM27" localSheetId="0">#REF!</definedName>
    <definedName name="MARGEM27" localSheetId="1">#REF!</definedName>
    <definedName name="MARGEM27">#REF!</definedName>
    <definedName name="MARGEM28" localSheetId="0">#REF!</definedName>
    <definedName name="MARGEM28" localSheetId="1">#REF!</definedName>
    <definedName name="MARGEM28">#REF!</definedName>
    <definedName name="MARGEM29" localSheetId="0">#REF!</definedName>
    <definedName name="MARGEM29" localSheetId="1">#REF!</definedName>
    <definedName name="MARGEM29">#REF!</definedName>
    <definedName name="MARGEM3" localSheetId="0">#REF!</definedName>
    <definedName name="MARGEM3" localSheetId="1">#REF!</definedName>
    <definedName name="MARGEM3">#REF!</definedName>
    <definedName name="MARGEM30" localSheetId="0">#REF!</definedName>
    <definedName name="MARGEM30" localSheetId="1">#REF!</definedName>
    <definedName name="MARGEM30">#REF!</definedName>
    <definedName name="MARGEM31" localSheetId="0">#REF!</definedName>
    <definedName name="MARGEM31" localSheetId="1">#REF!</definedName>
    <definedName name="MARGEM31">#REF!</definedName>
    <definedName name="MARGEM32" localSheetId="0">#REF!</definedName>
    <definedName name="MARGEM32" localSheetId="1">#REF!</definedName>
    <definedName name="MARGEM32">#REF!</definedName>
    <definedName name="MARGEM33" localSheetId="0">#REF!</definedName>
    <definedName name="MARGEM33" localSheetId="1">#REF!</definedName>
    <definedName name="MARGEM33">#REF!</definedName>
    <definedName name="MARGEM34" localSheetId="0">#REF!</definedName>
    <definedName name="MARGEM34" localSheetId="1">#REF!</definedName>
    <definedName name="MARGEM34">#REF!</definedName>
    <definedName name="MARGEM35" localSheetId="0">#REF!</definedName>
    <definedName name="MARGEM35" localSheetId="1">#REF!</definedName>
    <definedName name="MARGEM35">#REF!</definedName>
    <definedName name="MARGEM36" localSheetId="0">#REF!</definedName>
    <definedName name="MARGEM36" localSheetId="1">#REF!</definedName>
    <definedName name="MARGEM36">#REF!</definedName>
    <definedName name="MARGEM37" localSheetId="0">#REF!</definedName>
    <definedName name="MARGEM37" localSheetId="1">#REF!</definedName>
    <definedName name="MARGEM37">#REF!</definedName>
    <definedName name="MARGEM38" localSheetId="0">#REF!</definedName>
    <definedName name="MARGEM38" localSheetId="1">#REF!</definedName>
    <definedName name="MARGEM38">#REF!</definedName>
    <definedName name="MARGEM39" localSheetId="0">#REF!</definedName>
    <definedName name="MARGEM39" localSheetId="1">#REF!</definedName>
    <definedName name="MARGEM39">#REF!</definedName>
    <definedName name="MARGEM4" localSheetId="0">#REF!</definedName>
    <definedName name="MARGEM4" localSheetId="1">#REF!</definedName>
    <definedName name="MARGEM4">#REF!</definedName>
    <definedName name="MARGEM40" localSheetId="0">#REF!</definedName>
    <definedName name="MARGEM40" localSheetId="1">#REF!</definedName>
    <definedName name="MARGEM40">#REF!</definedName>
    <definedName name="MARGEM5" localSheetId="0">#REF!</definedName>
    <definedName name="MARGEM5" localSheetId="1">#REF!</definedName>
    <definedName name="MARGEM5">#REF!</definedName>
    <definedName name="MARGEM6" localSheetId="0">#REF!</definedName>
    <definedName name="MARGEM6" localSheetId="1">#REF!</definedName>
    <definedName name="MARGEM6">#REF!</definedName>
    <definedName name="MARGEM7" localSheetId="0">#REF!</definedName>
    <definedName name="MARGEM7" localSheetId="1">#REF!</definedName>
    <definedName name="MARGEM7">#REF!</definedName>
    <definedName name="MARGEM8" localSheetId="0">#REF!</definedName>
    <definedName name="MARGEM8" localSheetId="1">#REF!</definedName>
    <definedName name="MARGEM8">#REF!</definedName>
    <definedName name="MARGEM9" localSheetId="0">#REF!</definedName>
    <definedName name="MARGEM9" localSheetId="1">#REF!</definedName>
    <definedName name="MARGEM9">#REF!</definedName>
    <definedName name="Optico" localSheetId="0">OFFSET('Plan.Orç.-R01 (CPO)Anulada'!Lst.Top,#REF!,-1,1,1)</definedName>
    <definedName name="Optico" localSheetId="1">OFFSET('Planilha Vazia'!Lst.Top,#REF!,-1,1,1)</definedName>
    <definedName name="Optico">OFFSET(Lst.Top,#REF!,-1,1,1)</definedName>
    <definedName name="paste1" localSheetId="0">#REF!</definedName>
    <definedName name="paste1" localSheetId="1">#REF!</definedName>
    <definedName name="paste1">#REF!</definedName>
    <definedName name="paste2" localSheetId="0">#REF!</definedName>
    <definedName name="paste2" localSheetId="1">#REF!</definedName>
    <definedName name="paste2">#REF!</definedName>
    <definedName name="paste3" localSheetId="0">#REF!</definedName>
    <definedName name="paste3" localSheetId="1">#REF!</definedName>
    <definedName name="paste3">#REF!</definedName>
    <definedName name="paste4" localSheetId="0">#REF!</definedName>
    <definedName name="paste4" localSheetId="1">#REF!</definedName>
    <definedName name="paste4">#REF!</definedName>
    <definedName name="PIS" localSheetId="0">#REF!</definedName>
    <definedName name="PIS">#REF!</definedName>
    <definedName name="RecalcMatriz" localSheetId="0">#REF!</definedName>
    <definedName name="RecalcMatriz">#REF!</definedName>
    <definedName name="RMA" localSheetId="0">#REF!</definedName>
    <definedName name="RMA" localSheetId="1">#REF!</definedName>
    <definedName name="RMA">#REF!</definedName>
    <definedName name="Serviços" localSheetId="0">#REF!</definedName>
    <definedName name="Serviços" localSheetId="1">#REF!</definedName>
    <definedName name="Serviços">#REF!</definedName>
    <definedName name="sound1" localSheetId="0">#REF!</definedName>
    <definedName name="sound1" localSheetId="1">#REF!</definedName>
    <definedName name="sound1">#REF!</definedName>
    <definedName name="sound2" localSheetId="0">#REF!</definedName>
    <definedName name="sound2" localSheetId="1">#REF!</definedName>
    <definedName name="sound2">#REF!</definedName>
    <definedName name="start" localSheetId="0">#REF!</definedName>
    <definedName name="start">#REF!</definedName>
    <definedName name="TABSERBO" localSheetId="0">#REF!</definedName>
    <definedName name="TABSERBO">#REF!</definedName>
    <definedName name="temp" localSheetId="0">#REF!</definedName>
    <definedName name="temp" localSheetId="1">#REF!</definedName>
    <definedName name="temp">#REF!</definedName>
    <definedName name="temp2" localSheetId="0">#REF!</definedName>
    <definedName name="temp2">#REF!</definedName>
    <definedName name="_xlnm.Print_Titles" localSheetId="0">'Plan.Orç.-R01 (CPO)Anulada'!$10:$10</definedName>
    <definedName name="_xlnm.Print_Titles" localSheetId="1">'Planilha Vazia'!$10:$10</definedName>
  </definedNames>
  <calcPr calcId="152511"/>
</workbook>
</file>

<file path=xl/calcChain.xml><?xml version="1.0" encoding="utf-8"?>
<calcChain xmlns="http://schemas.openxmlformats.org/spreadsheetml/2006/main">
  <c r="K241" i="7" l="1"/>
  <c r="J241" i="7"/>
  <c r="I241" i="7"/>
  <c r="H241" i="7"/>
  <c r="K240" i="7"/>
  <c r="J240" i="7"/>
  <c r="I240" i="7"/>
  <c r="H240" i="7"/>
  <c r="K239" i="7"/>
  <c r="J239" i="7"/>
  <c r="I239" i="7"/>
  <c r="H239" i="7"/>
  <c r="K237" i="7"/>
  <c r="K236" i="7"/>
  <c r="J236" i="7"/>
  <c r="I236" i="7"/>
  <c r="H236" i="7"/>
  <c r="K235" i="7"/>
  <c r="J235" i="7"/>
  <c r="I235" i="7"/>
  <c r="H235" i="7"/>
  <c r="K234" i="7"/>
  <c r="J234" i="7"/>
  <c r="I234" i="7"/>
  <c r="H234" i="7"/>
  <c r="K233" i="7"/>
  <c r="J233" i="7"/>
  <c r="I233" i="7"/>
  <c r="H233" i="7"/>
  <c r="K232" i="7"/>
  <c r="J232" i="7"/>
  <c r="I232" i="7"/>
  <c r="H232" i="7"/>
  <c r="K231" i="7"/>
  <c r="J231" i="7"/>
  <c r="I231" i="7"/>
  <c r="H231" i="7"/>
  <c r="K230" i="7"/>
  <c r="J230" i="7"/>
  <c r="I230" i="7"/>
  <c r="H230" i="7"/>
  <c r="K229" i="7"/>
  <c r="J229" i="7"/>
  <c r="I229" i="7"/>
  <c r="H229" i="7"/>
  <c r="K228" i="7"/>
  <c r="J228" i="7"/>
  <c r="I228" i="7"/>
  <c r="H228" i="7"/>
  <c r="K227" i="7"/>
  <c r="J227" i="7"/>
  <c r="I227" i="7"/>
  <c r="H227" i="7"/>
  <c r="I223" i="7"/>
  <c r="G223" i="7"/>
  <c r="K222" i="7"/>
  <c r="J222" i="7"/>
  <c r="I222" i="7"/>
  <c r="H222" i="7"/>
  <c r="F221" i="7"/>
  <c r="I220" i="7"/>
  <c r="H220" i="7"/>
  <c r="F220" i="7"/>
  <c r="J220" i="7" s="1"/>
  <c r="K220" i="7" s="1"/>
  <c r="K217" i="7"/>
  <c r="J217" i="7"/>
  <c r="I217" i="7"/>
  <c r="H217" i="7"/>
  <c r="K216" i="7"/>
  <c r="J216" i="7"/>
  <c r="I216" i="7"/>
  <c r="H216" i="7"/>
  <c r="K214" i="7"/>
  <c r="J214" i="7"/>
  <c r="E214" i="7"/>
  <c r="K213" i="7"/>
  <c r="J213" i="7"/>
  <c r="I213" i="7"/>
  <c r="H213" i="7"/>
  <c r="K212" i="7"/>
  <c r="J212" i="7"/>
  <c r="I212" i="7"/>
  <c r="H212" i="7"/>
  <c r="K211" i="7"/>
  <c r="J211" i="7"/>
  <c r="I211" i="7"/>
  <c r="H211" i="7"/>
  <c r="I210" i="7"/>
  <c r="H210" i="7"/>
  <c r="F210" i="7"/>
  <c r="J210" i="7" s="1"/>
  <c r="K210" i="7" s="1"/>
  <c r="J209" i="7"/>
  <c r="K209" i="7" s="1"/>
  <c r="I209" i="7"/>
  <c r="H209" i="7"/>
  <c r="I208" i="7"/>
  <c r="H208" i="7"/>
  <c r="G208" i="7"/>
  <c r="J208" i="7" s="1"/>
  <c r="K208" i="7" s="1"/>
  <c r="F208" i="7"/>
  <c r="K207" i="7"/>
  <c r="J207" i="7"/>
  <c r="I207" i="7"/>
  <c r="H207" i="7"/>
  <c r="J206" i="7"/>
  <c r="E206" i="7"/>
  <c r="K206" i="7" s="1"/>
  <c r="K205" i="7"/>
  <c r="J205" i="7"/>
  <c r="I205" i="7"/>
  <c r="H205" i="7"/>
  <c r="K204" i="7"/>
  <c r="J204" i="7"/>
  <c r="I204" i="7"/>
  <c r="H204" i="7"/>
  <c r="K203" i="7"/>
  <c r="J203" i="7"/>
  <c r="I203" i="7"/>
  <c r="H203" i="7"/>
  <c r="I202" i="7"/>
  <c r="H202" i="7"/>
  <c r="F202" i="7"/>
  <c r="J202" i="7" s="1"/>
  <c r="K202" i="7" s="1"/>
  <c r="J201" i="7"/>
  <c r="K201" i="7" s="1"/>
  <c r="I201" i="7"/>
  <c r="H201" i="7"/>
  <c r="J200" i="7"/>
  <c r="K200" i="7" s="1"/>
  <c r="I200" i="7"/>
  <c r="H200" i="7"/>
  <c r="I199" i="7"/>
  <c r="H199" i="7"/>
  <c r="F199" i="7"/>
  <c r="J199" i="7" s="1"/>
  <c r="K199" i="7" s="1"/>
  <c r="J198" i="7"/>
  <c r="K198" i="7" s="1"/>
  <c r="I198" i="7"/>
  <c r="F198" i="7"/>
  <c r="H198" i="7" s="1"/>
  <c r="I197" i="7"/>
  <c r="F197" i="7"/>
  <c r="H196" i="7"/>
  <c r="F196" i="7"/>
  <c r="J196" i="7" s="1"/>
  <c r="K196" i="7" s="1"/>
  <c r="E196" i="7"/>
  <c r="I196" i="7" s="1"/>
  <c r="J195" i="7"/>
  <c r="K195" i="7" s="1"/>
  <c r="I195" i="7"/>
  <c r="H195" i="7"/>
  <c r="J194" i="7"/>
  <c r="K194" i="7" s="1"/>
  <c r="I194" i="7"/>
  <c r="H194" i="7"/>
  <c r="J193" i="7"/>
  <c r="K193" i="7" s="1"/>
  <c r="I193" i="7"/>
  <c r="H193" i="7"/>
  <c r="J192" i="7"/>
  <c r="K192" i="7" s="1"/>
  <c r="I192" i="7"/>
  <c r="G192" i="7"/>
  <c r="F192" i="7"/>
  <c r="H192" i="7" s="1"/>
  <c r="H191" i="7"/>
  <c r="G191" i="7"/>
  <c r="J191" i="7" s="1"/>
  <c r="K191" i="7" s="1"/>
  <c r="F191" i="7"/>
  <c r="J190" i="7"/>
  <c r="K190" i="7" s="1"/>
  <c r="I190" i="7"/>
  <c r="H190" i="7"/>
  <c r="J189" i="7"/>
  <c r="K189" i="7" s="1"/>
  <c r="I189" i="7"/>
  <c r="H189" i="7"/>
  <c r="J188" i="7"/>
  <c r="K188" i="7" s="1"/>
  <c r="I188" i="7"/>
  <c r="H188" i="7"/>
  <c r="J187" i="7"/>
  <c r="K187" i="7" s="1"/>
  <c r="I187" i="7"/>
  <c r="H187" i="7"/>
  <c r="J186" i="7"/>
  <c r="K186" i="7" s="1"/>
  <c r="I186" i="7"/>
  <c r="H186" i="7"/>
  <c r="J185" i="7"/>
  <c r="K185" i="7" s="1"/>
  <c r="I185" i="7"/>
  <c r="H185" i="7"/>
  <c r="E185" i="7"/>
  <c r="K184" i="7"/>
  <c r="J184" i="7"/>
  <c r="I184" i="7"/>
  <c r="H184" i="7"/>
  <c r="K183" i="7"/>
  <c r="J183" i="7"/>
  <c r="I183" i="7"/>
  <c r="H183" i="7"/>
  <c r="K182" i="7"/>
  <c r="J182" i="7"/>
  <c r="I182" i="7"/>
  <c r="H182" i="7"/>
  <c r="K181" i="7"/>
  <c r="J181" i="7"/>
  <c r="I181" i="7"/>
  <c r="H181" i="7"/>
  <c r="K180" i="7"/>
  <c r="J180" i="7"/>
  <c r="I180" i="7"/>
  <c r="H180" i="7"/>
  <c r="K179" i="7"/>
  <c r="J179" i="7"/>
  <c r="I179" i="7"/>
  <c r="H179" i="7"/>
  <c r="K178" i="7"/>
  <c r="J178" i="7"/>
  <c r="I178" i="7"/>
  <c r="H178" i="7"/>
  <c r="K177" i="7"/>
  <c r="J177" i="7"/>
  <c r="I177" i="7"/>
  <c r="H177" i="7"/>
  <c r="K176" i="7"/>
  <c r="J176" i="7"/>
  <c r="I176" i="7"/>
  <c r="H176" i="7"/>
  <c r="J173" i="7"/>
  <c r="K173" i="7" s="1"/>
  <c r="I173" i="7"/>
  <c r="H173" i="7"/>
  <c r="J172" i="7"/>
  <c r="K172" i="7" s="1"/>
  <c r="I172" i="7"/>
  <c r="H172" i="7"/>
  <c r="J171" i="7"/>
  <c r="K171" i="7" s="1"/>
  <c r="I171" i="7"/>
  <c r="H171" i="7"/>
  <c r="J170" i="7"/>
  <c r="K170" i="7" s="1"/>
  <c r="I170" i="7"/>
  <c r="H170" i="7"/>
  <c r="J169" i="7"/>
  <c r="K169" i="7" s="1"/>
  <c r="I169" i="7"/>
  <c r="H169" i="7"/>
  <c r="J168" i="7"/>
  <c r="K168" i="7" s="1"/>
  <c r="H168" i="7"/>
  <c r="E168" i="7"/>
  <c r="I168" i="7" s="1"/>
  <c r="J167" i="7"/>
  <c r="K167" i="7" s="1"/>
  <c r="I167" i="7"/>
  <c r="H167" i="7"/>
  <c r="I166" i="7"/>
  <c r="H166" i="7"/>
  <c r="F166" i="7"/>
  <c r="J166" i="7" s="1"/>
  <c r="K166" i="7" s="1"/>
  <c r="E166" i="7"/>
  <c r="J165" i="7"/>
  <c r="E165" i="7"/>
  <c r="J164" i="7"/>
  <c r="H164" i="7"/>
  <c r="E164" i="7"/>
  <c r="K164" i="7" s="1"/>
  <c r="J163" i="7"/>
  <c r="K163" i="7" s="1"/>
  <c r="I163" i="7"/>
  <c r="H163" i="7"/>
  <c r="E163" i="7"/>
  <c r="J162" i="7"/>
  <c r="K162" i="7" s="1"/>
  <c r="I162" i="7"/>
  <c r="E162" i="7"/>
  <c r="H162" i="7" s="1"/>
  <c r="K161" i="7"/>
  <c r="J161" i="7"/>
  <c r="E161" i="7"/>
  <c r="J160" i="7"/>
  <c r="H160" i="7"/>
  <c r="E160" i="7"/>
  <c r="K160" i="7" s="1"/>
  <c r="I159" i="7"/>
  <c r="H159" i="7"/>
  <c r="F159" i="7"/>
  <c r="J159" i="7" s="1"/>
  <c r="K159" i="7" s="1"/>
  <c r="J158" i="7"/>
  <c r="K158" i="7" s="1"/>
  <c r="I158" i="7"/>
  <c r="H158" i="7"/>
  <c r="J157" i="7"/>
  <c r="K157" i="7" s="1"/>
  <c r="I157" i="7"/>
  <c r="H157" i="7"/>
  <c r="J156" i="7"/>
  <c r="K156" i="7" s="1"/>
  <c r="I156" i="7"/>
  <c r="H156" i="7"/>
  <c r="J155" i="7"/>
  <c r="K155" i="7" s="1"/>
  <c r="I155" i="7"/>
  <c r="H155" i="7"/>
  <c r="J154" i="7"/>
  <c r="K154" i="7" s="1"/>
  <c r="I154" i="7"/>
  <c r="H154" i="7"/>
  <c r="J153" i="7"/>
  <c r="K153" i="7" s="1"/>
  <c r="I153" i="7"/>
  <c r="H153" i="7"/>
  <c r="J152" i="7"/>
  <c r="K152" i="7" s="1"/>
  <c r="I152" i="7"/>
  <c r="H152" i="7"/>
  <c r="J151" i="7"/>
  <c r="K151" i="7" s="1"/>
  <c r="I151" i="7"/>
  <c r="H151" i="7"/>
  <c r="J150" i="7"/>
  <c r="K150" i="7" s="1"/>
  <c r="I150" i="7"/>
  <c r="H150" i="7"/>
  <c r="F150" i="7"/>
  <c r="K149" i="7"/>
  <c r="G149" i="7"/>
  <c r="I149" i="7" s="1"/>
  <c r="F149" i="7"/>
  <c r="J149" i="7" s="1"/>
  <c r="I148" i="7"/>
  <c r="F148" i="7"/>
  <c r="H148" i="7" s="1"/>
  <c r="J145" i="7"/>
  <c r="K145" i="7" s="1"/>
  <c r="I145" i="7"/>
  <c r="H145" i="7"/>
  <c r="J144" i="7"/>
  <c r="K144" i="7" s="1"/>
  <c r="I144" i="7"/>
  <c r="H144" i="7"/>
  <c r="J143" i="7"/>
  <c r="K143" i="7" s="1"/>
  <c r="I143" i="7"/>
  <c r="H143" i="7"/>
  <c r="J141" i="7"/>
  <c r="K141" i="7" s="1"/>
  <c r="I141" i="7"/>
  <c r="H141" i="7"/>
  <c r="J140" i="7"/>
  <c r="K140" i="7" s="1"/>
  <c r="I140" i="7"/>
  <c r="H140" i="7"/>
  <c r="J139" i="7"/>
  <c r="K139" i="7" s="1"/>
  <c r="I139" i="7"/>
  <c r="H139" i="7"/>
  <c r="J138" i="7"/>
  <c r="K138" i="7" s="1"/>
  <c r="I138" i="7"/>
  <c r="H138" i="7"/>
  <c r="J137" i="7"/>
  <c r="K137" i="7" s="1"/>
  <c r="I137" i="7"/>
  <c r="H137" i="7"/>
  <c r="J136" i="7"/>
  <c r="K136" i="7" s="1"/>
  <c r="I136" i="7"/>
  <c r="H136" i="7"/>
  <c r="J135" i="7"/>
  <c r="K135" i="7" s="1"/>
  <c r="I135" i="7"/>
  <c r="H135" i="7"/>
  <c r="J133" i="7"/>
  <c r="K133" i="7" s="1"/>
  <c r="I133" i="7"/>
  <c r="H133" i="7"/>
  <c r="J132" i="7"/>
  <c r="K132" i="7" s="1"/>
  <c r="I132" i="7"/>
  <c r="H132" i="7"/>
  <c r="J131" i="7"/>
  <c r="K131" i="7" s="1"/>
  <c r="I131" i="7"/>
  <c r="H131" i="7"/>
  <c r="J130" i="7"/>
  <c r="K130" i="7" s="1"/>
  <c r="I130" i="7"/>
  <c r="H130" i="7"/>
  <c r="J129" i="7"/>
  <c r="K129" i="7" s="1"/>
  <c r="I129" i="7"/>
  <c r="H129" i="7"/>
  <c r="J128" i="7"/>
  <c r="K128" i="7" s="1"/>
  <c r="I128" i="7"/>
  <c r="H128" i="7"/>
  <c r="J127" i="7"/>
  <c r="K127" i="7" s="1"/>
  <c r="I127" i="7"/>
  <c r="H127" i="7"/>
  <c r="J126" i="7"/>
  <c r="K126" i="7" s="1"/>
  <c r="I126" i="7"/>
  <c r="H126" i="7"/>
  <c r="J125" i="7"/>
  <c r="K125" i="7" s="1"/>
  <c r="I125" i="7"/>
  <c r="H125" i="7"/>
  <c r="J124" i="7"/>
  <c r="K124" i="7" s="1"/>
  <c r="I124" i="7"/>
  <c r="H124" i="7"/>
  <c r="J123" i="7"/>
  <c r="K123" i="7" s="1"/>
  <c r="I123" i="7"/>
  <c r="H123" i="7"/>
  <c r="J122" i="7"/>
  <c r="K122" i="7" s="1"/>
  <c r="I122" i="7"/>
  <c r="H122" i="7"/>
  <c r="J121" i="7"/>
  <c r="K121" i="7" s="1"/>
  <c r="I121" i="7"/>
  <c r="G121" i="7"/>
  <c r="F121" i="7"/>
  <c r="H121" i="7" s="1"/>
  <c r="J120" i="7"/>
  <c r="K120" i="7" s="1"/>
  <c r="I120" i="7"/>
  <c r="H120" i="7"/>
  <c r="J119" i="7"/>
  <c r="K119" i="7" s="1"/>
  <c r="I119" i="7"/>
  <c r="H119" i="7"/>
  <c r="J118" i="7"/>
  <c r="K118" i="7" s="1"/>
  <c r="I118" i="7"/>
  <c r="H118" i="7"/>
  <c r="H117" i="7"/>
  <c r="G117" i="7"/>
  <c r="I117" i="7" s="1"/>
  <c r="F117" i="7"/>
  <c r="J117" i="7" s="1"/>
  <c r="K117" i="7" s="1"/>
  <c r="K113" i="7"/>
  <c r="J113" i="7"/>
  <c r="E113" i="7"/>
  <c r="J112" i="7"/>
  <c r="K112" i="7" s="1"/>
  <c r="I112" i="7"/>
  <c r="H112" i="7"/>
  <c r="H111" i="7"/>
  <c r="G111" i="7"/>
  <c r="I111" i="7" s="1"/>
  <c r="F111" i="7"/>
  <c r="J111" i="7" s="1"/>
  <c r="K111" i="7" s="1"/>
  <c r="J110" i="7"/>
  <c r="K110" i="7" s="1"/>
  <c r="K108" i="7"/>
  <c r="J108" i="7"/>
  <c r="I108" i="7"/>
  <c r="H108" i="7"/>
  <c r="K107" i="7"/>
  <c r="J107" i="7"/>
  <c r="I107" i="7"/>
  <c r="H107" i="7"/>
  <c r="I106" i="7"/>
  <c r="F106" i="7"/>
  <c r="H105" i="7"/>
  <c r="F105" i="7"/>
  <c r="J105" i="7" s="1"/>
  <c r="K105" i="7" s="1"/>
  <c r="E105" i="7"/>
  <c r="E110" i="7" s="1"/>
  <c r="I98" i="7"/>
  <c r="F98" i="7"/>
  <c r="J97" i="7"/>
  <c r="K97" i="7" s="1"/>
  <c r="H97" i="7"/>
  <c r="E97" i="7"/>
  <c r="I97" i="7" s="1"/>
  <c r="J96" i="7"/>
  <c r="I96" i="7"/>
  <c r="E96" i="7"/>
  <c r="H96" i="7" s="1"/>
  <c r="J95" i="7"/>
  <c r="K95" i="7" s="1"/>
  <c r="I95" i="7"/>
  <c r="H95" i="7"/>
  <c r="E95" i="7"/>
  <c r="K93" i="7"/>
  <c r="J92" i="7"/>
  <c r="K92" i="7" s="1"/>
  <c r="H92" i="7"/>
  <c r="E92" i="7"/>
  <c r="E221" i="7" s="1"/>
  <c r="J87" i="7"/>
  <c r="K87" i="7" s="1"/>
  <c r="I87" i="7"/>
  <c r="H87" i="7"/>
  <c r="J86" i="7"/>
  <c r="K86" i="7" s="1"/>
  <c r="K88" i="7" s="1"/>
  <c r="I86" i="7"/>
  <c r="H86" i="7"/>
  <c r="J85" i="7"/>
  <c r="K85" i="7" s="1"/>
  <c r="I85" i="7"/>
  <c r="H85" i="7"/>
  <c r="E85" i="7"/>
  <c r="K80" i="7"/>
  <c r="K81" i="7" s="1"/>
  <c r="J80" i="7"/>
  <c r="E80" i="7"/>
  <c r="I80" i="7" s="1"/>
  <c r="J77" i="7"/>
  <c r="K77" i="7" s="1"/>
  <c r="I77" i="7"/>
  <c r="H77" i="7"/>
  <c r="J76" i="7"/>
  <c r="E76" i="7"/>
  <c r="I76" i="7" s="1"/>
  <c r="J75" i="7"/>
  <c r="K75" i="7" s="1"/>
  <c r="I75" i="7"/>
  <c r="H75" i="7"/>
  <c r="E75" i="7"/>
  <c r="J74" i="7"/>
  <c r="K74" i="7" s="1"/>
  <c r="I74" i="7"/>
  <c r="E74" i="7"/>
  <c r="H74" i="7" s="1"/>
  <c r="J73" i="7"/>
  <c r="K73" i="7" s="1"/>
  <c r="E73" i="7"/>
  <c r="H73" i="7" s="1"/>
  <c r="J72" i="7"/>
  <c r="E72" i="7"/>
  <c r="I72" i="7" s="1"/>
  <c r="J71" i="7"/>
  <c r="K71" i="7" s="1"/>
  <c r="I71" i="7"/>
  <c r="H71" i="7"/>
  <c r="E71" i="7"/>
  <c r="J68" i="7"/>
  <c r="K68" i="7" s="1"/>
  <c r="I68" i="7"/>
  <c r="H68" i="7"/>
  <c r="J67" i="7"/>
  <c r="K67" i="7" s="1"/>
  <c r="I67" i="7"/>
  <c r="H67" i="7"/>
  <c r="K64" i="7"/>
  <c r="J64" i="7"/>
  <c r="I64" i="7"/>
  <c r="H64" i="7"/>
  <c r="J63" i="7"/>
  <c r="E63" i="7"/>
  <c r="I63" i="7" s="1"/>
  <c r="J62" i="7"/>
  <c r="K62" i="7" s="1"/>
  <c r="I62" i="7"/>
  <c r="H62" i="7"/>
  <c r="F62" i="7"/>
  <c r="J61" i="7"/>
  <c r="K61" i="7" s="1"/>
  <c r="I61" i="7"/>
  <c r="H61" i="7"/>
  <c r="J60" i="7"/>
  <c r="K60" i="7" s="1"/>
  <c r="I60" i="7"/>
  <c r="H60" i="7"/>
  <c r="J59" i="7"/>
  <c r="K59" i="7" s="1"/>
  <c r="I59" i="7"/>
  <c r="E59" i="7"/>
  <c r="H59" i="7" s="1"/>
  <c r="J56" i="7"/>
  <c r="E56" i="7"/>
  <c r="H56" i="7" s="1"/>
  <c r="J55" i="7"/>
  <c r="K55" i="7" s="1"/>
  <c r="I55" i="7"/>
  <c r="H55" i="7"/>
  <c r="E55" i="7"/>
  <c r="J54" i="7"/>
  <c r="K54" i="7" s="1"/>
  <c r="I54" i="7"/>
  <c r="E54" i="7"/>
  <c r="H54" i="7" s="1"/>
  <c r="J53" i="7"/>
  <c r="K53" i="7" s="1"/>
  <c r="E53" i="7"/>
  <c r="H53" i="7" s="1"/>
  <c r="J52" i="7"/>
  <c r="E52" i="7"/>
  <c r="K52" i="7" s="1"/>
  <c r="J49" i="7"/>
  <c r="K49" i="7" s="1"/>
  <c r="I49" i="7"/>
  <c r="E49" i="7"/>
  <c r="H49" i="7" s="1"/>
  <c r="J48" i="7"/>
  <c r="J47" i="7"/>
  <c r="E47" i="7"/>
  <c r="E48" i="7" s="1"/>
  <c r="J46" i="7"/>
  <c r="K46" i="7" s="1"/>
  <c r="I46" i="7"/>
  <c r="H46" i="7"/>
  <c r="E46" i="7"/>
  <c r="J45" i="7"/>
  <c r="K45" i="7" s="1"/>
  <c r="I45" i="7"/>
  <c r="E45" i="7"/>
  <c r="H45" i="7" s="1"/>
  <c r="J44" i="7"/>
  <c r="K44" i="7" s="1"/>
  <c r="E44" i="7"/>
  <c r="H44" i="7" s="1"/>
  <c r="J43" i="7"/>
  <c r="E43" i="7"/>
  <c r="H43" i="7" s="1"/>
  <c r="J41" i="7"/>
  <c r="K41" i="7" s="1"/>
  <c r="I41" i="7"/>
  <c r="H41" i="7"/>
  <c r="E41" i="7"/>
  <c r="J39" i="7"/>
  <c r="K39" i="7" s="1"/>
  <c r="I39" i="7"/>
  <c r="E39" i="7"/>
  <c r="H39" i="7" s="1"/>
  <c r="J38" i="7"/>
  <c r="J37" i="7"/>
  <c r="E37" i="7"/>
  <c r="E38" i="7" s="1"/>
  <c r="J31" i="7"/>
  <c r="K31" i="7" s="1"/>
  <c r="I31" i="7"/>
  <c r="E31" i="7"/>
  <c r="H31" i="7" s="1"/>
  <c r="G30" i="7"/>
  <c r="F30" i="7"/>
  <c r="J30" i="7" s="1"/>
  <c r="K30" i="7" s="1"/>
  <c r="E30" i="7"/>
  <c r="I30" i="7" s="1"/>
  <c r="I29" i="7"/>
  <c r="G29" i="7"/>
  <c r="F29" i="7"/>
  <c r="J29" i="7" s="1"/>
  <c r="K29" i="7" s="1"/>
  <c r="K28" i="7"/>
  <c r="K32" i="7" s="1"/>
  <c r="J28" i="7"/>
  <c r="I28" i="7"/>
  <c r="H28" i="7"/>
  <c r="J25" i="7"/>
  <c r="K25" i="7" s="1"/>
  <c r="I25" i="7"/>
  <c r="H25" i="7"/>
  <c r="J24" i="7"/>
  <c r="K24" i="7" s="1"/>
  <c r="I24" i="7"/>
  <c r="H24" i="7"/>
  <c r="J23" i="7"/>
  <c r="K23" i="7" s="1"/>
  <c r="I23" i="7"/>
  <c r="H23" i="7"/>
  <c r="J22" i="7"/>
  <c r="K22" i="7" s="1"/>
  <c r="I22" i="7"/>
  <c r="H22" i="7"/>
  <c r="J21" i="7"/>
  <c r="J20" i="7"/>
  <c r="K20" i="7" s="1"/>
  <c r="I20" i="7"/>
  <c r="H20" i="7"/>
  <c r="J19" i="7"/>
  <c r="K19" i="7" s="1"/>
  <c r="I19" i="7"/>
  <c r="E19" i="7"/>
  <c r="H19" i="7" s="1"/>
  <c r="J18" i="7"/>
  <c r="K18" i="7" s="1"/>
  <c r="I18" i="7"/>
  <c r="H18" i="7"/>
  <c r="J17" i="7"/>
  <c r="K17" i="7" s="1"/>
  <c r="I17" i="7"/>
  <c r="H17" i="7"/>
  <c r="J16" i="7"/>
  <c r="K16" i="7" s="1"/>
  <c r="I16" i="7"/>
  <c r="H16" i="7"/>
  <c r="J15" i="7"/>
  <c r="K15" i="7" s="1"/>
  <c r="I15" i="7"/>
  <c r="H15" i="7"/>
  <c r="J14" i="7"/>
  <c r="K14" i="7" s="1"/>
  <c r="I14" i="7"/>
  <c r="H14" i="7"/>
  <c r="J13" i="7"/>
  <c r="K13" i="7" s="1"/>
  <c r="I13" i="7"/>
  <c r="H13" i="7"/>
  <c r="J12" i="7"/>
  <c r="K12" i="7" s="1"/>
  <c r="E12" i="7"/>
  <c r="H12" i="7" s="1"/>
  <c r="H38" i="7" l="1"/>
  <c r="I38" i="7"/>
  <c r="I48" i="7"/>
  <c r="H48" i="7"/>
  <c r="K38" i="7"/>
  <c r="K48" i="7"/>
  <c r="K57" i="7"/>
  <c r="K69" i="7"/>
  <c r="K37" i="7"/>
  <c r="K47" i="7"/>
  <c r="K76" i="7"/>
  <c r="H37" i="7"/>
  <c r="H30" i="7"/>
  <c r="I37" i="7"/>
  <c r="I43" i="7"/>
  <c r="I47" i="7"/>
  <c r="I52" i="7"/>
  <c r="I56" i="7"/>
  <c r="I12" i="7"/>
  <c r="E21" i="7"/>
  <c r="H29" i="7"/>
  <c r="I44" i="7"/>
  <c r="I53" i="7"/>
  <c r="I73" i="7"/>
  <c r="J98" i="7"/>
  <c r="K98" i="7" s="1"/>
  <c r="H98" i="7"/>
  <c r="K114" i="7"/>
  <c r="I113" i="7"/>
  <c r="H113" i="7"/>
  <c r="I161" i="7"/>
  <c r="H161" i="7"/>
  <c r="J197" i="7"/>
  <c r="K197" i="7" s="1"/>
  <c r="K218" i="7" s="1"/>
  <c r="H197" i="7"/>
  <c r="K56" i="7"/>
  <c r="K63" i="7"/>
  <c r="K65" i="7" s="1"/>
  <c r="K72" i="7"/>
  <c r="K78" i="7" s="1"/>
  <c r="K242" i="7"/>
  <c r="H47" i="7"/>
  <c r="H52" i="7"/>
  <c r="H63" i="7"/>
  <c r="H72" i="7"/>
  <c r="H76" i="7"/>
  <c r="I221" i="7"/>
  <c r="H221" i="7"/>
  <c r="J106" i="7"/>
  <c r="K106" i="7" s="1"/>
  <c r="H106" i="7"/>
  <c r="I206" i="7"/>
  <c r="H206" i="7"/>
  <c r="K43" i="7"/>
  <c r="K101" i="7"/>
  <c r="I165" i="7"/>
  <c r="H165" i="7"/>
  <c r="J221" i="7"/>
  <c r="K221" i="7" s="1"/>
  <c r="F223" i="7"/>
  <c r="H80" i="7"/>
  <c r="I110" i="7"/>
  <c r="H110" i="7"/>
  <c r="K165" i="7"/>
  <c r="I214" i="7"/>
  <c r="H214" i="7"/>
  <c r="I92" i="7"/>
  <c r="I105" i="7"/>
  <c r="J148" i="7"/>
  <c r="K148" i="7" s="1"/>
  <c r="K174" i="7" s="1"/>
  <c r="H149" i="7"/>
  <c r="I160" i="7"/>
  <c r="I164" i="7"/>
  <c r="I191" i="7"/>
  <c r="K96" i="7"/>
  <c r="H223" i="7" l="1"/>
  <c r="J223" i="7"/>
  <c r="K223" i="7" s="1"/>
  <c r="K224" i="7" s="1"/>
  <c r="H21" i="7"/>
  <c r="I21" i="7"/>
  <c r="K50" i="7"/>
  <c r="K246" i="7"/>
  <c r="K21" i="7"/>
  <c r="K26" i="7" l="1"/>
  <c r="K244" i="7"/>
  <c r="K245" i="7"/>
  <c r="K247" i="7" s="1"/>
  <c r="K248" i="7" s="1"/>
  <c r="K249" i="7" s="1"/>
  <c r="K250" i="7" s="1"/>
</calcChain>
</file>

<file path=xl/sharedStrings.xml><?xml version="1.0" encoding="utf-8"?>
<sst xmlns="http://schemas.openxmlformats.org/spreadsheetml/2006/main" count="1429" uniqueCount="593">
  <si>
    <t xml:space="preserve"> </t>
  </si>
  <si>
    <t>Item</t>
  </si>
  <si>
    <t>Descrição dos Serviços</t>
  </si>
  <si>
    <t>Un</t>
  </si>
  <si>
    <t>Quant.</t>
  </si>
  <si>
    <t>INSTALAÇÃO DO CANTEIRO</t>
  </si>
  <si>
    <t>2.1</t>
  </si>
  <si>
    <t>MOVIMENTO DE TERRA</t>
  </si>
  <si>
    <t>INFRA-ESTRUTURA</t>
  </si>
  <si>
    <t>4.1</t>
  </si>
  <si>
    <t>PAREDES E PAINÉIS</t>
  </si>
  <si>
    <t>6.1</t>
  </si>
  <si>
    <t>9.1</t>
  </si>
  <si>
    <t>IMPERMEABILIZAÇÃO</t>
  </si>
  <si>
    <t>13.1</t>
  </si>
  <si>
    <t>PISOS</t>
  </si>
  <si>
    <t>INSTALAÇÕES HIDRÁULICAS</t>
  </si>
  <si>
    <t>INSTALAÇÕES ELÉTRICAS</t>
  </si>
  <si>
    <t>PINTURA</t>
  </si>
  <si>
    <t>TOTAL DA OBRA</t>
  </si>
  <si>
    <t>SERVIÇOS COMPLEMENTARES</t>
  </si>
  <si>
    <t>R$ Unit. Mat.</t>
  </si>
  <si>
    <t>R$ Unit. MO</t>
  </si>
  <si>
    <t>R$ Unit.Mat+MO</t>
  </si>
  <si>
    <t>R$ Total Mat+MO</t>
  </si>
  <si>
    <t>TOTAL MATERIAL</t>
  </si>
  <si>
    <t>TOTAL MÃO-DE-OBRA</t>
  </si>
  <si>
    <t>LEIS SOCIAIS(%)</t>
  </si>
  <si>
    <t>BDI(%)</t>
  </si>
  <si>
    <t>DATA-BASE(Io)</t>
  </si>
  <si>
    <t xml:space="preserve">Região: </t>
  </si>
  <si>
    <t>TOTAL</t>
  </si>
  <si>
    <t xml:space="preserve">PLANILHA ORÇAMENTÁRIA </t>
  </si>
  <si>
    <t>SERVIÇOS INICIAIS - PRELIMINARES</t>
  </si>
  <si>
    <t>PREÇO/M2</t>
  </si>
  <si>
    <t>M</t>
  </si>
  <si>
    <t>Fonte</t>
  </si>
  <si>
    <t>CPOS</t>
  </si>
  <si>
    <t>FDE</t>
  </si>
  <si>
    <t>UN</t>
  </si>
  <si>
    <t>M3</t>
  </si>
  <si>
    <t>M2</t>
  </si>
  <si>
    <t>R$ Total Mat</t>
  </si>
  <si>
    <t>R$ Total MO.</t>
  </si>
  <si>
    <t>PÇ</t>
  </si>
  <si>
    <t>MOVIMENTAÇÃO DE TERRA PARA BLOCOS E BALDRAMES</t>
  </si>
  <si>
    <t>APILOAMENTO DE FUNDO DE VALA</t>
  </si>
  <si>
    <t>4.2</t>
  </si>
  <si>
    <t>4.3</t>
  </si>
  <si>
    <t>BLOCOS E BALDRAMES</t>
  </si>
  <si>
    <t>KG</t>
  </si>
  <si>
    <t>Mês</t>
  </si>
  <si>
    <t>Fone: 16-33722188 email: gracoarq@terra.com.br</t>
  </si>
  <si>
    <t>-</t>
  </si>
  <si>
    <t>Fonte de Pesquisa de Preços: FDE/CPOS</t>
  </si>
  <si>
    <t>PREÇO TOTAL FINAL DA OBRA</t>
  </si>
  <si>
    <t>RESUMO:</t>
  </si>
  <si>
    <t>6.2</t>
  </si>
  <si>
    <t>6.3</t>
  </si>
  <si>
    <t>6.4</t>
  </si>
  <si>
    <t>GRACO – Graco Projetos, Empreendimentos e Construções LTDA</t>
  </si>
  <si>
    <t>SUBTOTAL</t>
  </si>
  <si>
    <t>FORNECIMENTO E INSTALAÇÃO DE PLACA DA OBRA</t>
  </si>
  <si>
    <t>TAPUME H=225CM APOIADO NO TERRENO  ENGASTADO</t>
  </si>
  <si>
    <t>REATERRO MANUAL DE VALA APILOADO</t>
  </si>
  <si>
    <t>ESTACAS TIPO STRAUSS</t>
  </si>
  <si>
    <t>LASTRO DE CONCRETO COM HIDROFUGO , INCLUINDO PREPARO E LANÇAMENTO, E=5CM</t>
  </si>
  <si>
    <t xml:space="preserve"> LANÇAMENTO E ADENSAMENTO DE CONCRETO OU MASSA EM FUNDAÇÃO</t>
  </si>
  <si>
    <t xml:space="preserve">CHAPISCO </t>
  </si>
  <si>
    <t>ELABORAÇÃO DE PROJETO "AS BUILT" - PRANCHA TÉCNICA</t>
  </si>
  <si>
    <t>Chuveiro</t>
  </si>
  <si>
    <t>Demolição manual de alvenaria de elevação ou elemento vazado, incluindo revestimento</t>
  </si>
  <si>
    <t>Retirada de sifão ou metais sanitários diversos</t>
  </si>
  <si>
    <t>Retirada de bancada incluindo pertences</t>
  </si>
  <si>
    <t>Retirada de registro ou válvula aparentes</t>
  </si>
  <si>
    <t>Retirada de torneira ou chuveiro</t>
  </si>
  <si>
    <t>Retirada de aparelho sanitário incluindo acessórios</t>
  </si>
  <si>
    <t>Retirada de esquadria metálica em geral</t>
  </si>
  <si>
    <t>Retirada de folha de esquadria em madeira</t>
  </si>
  <si>
    <t>Retirada de divisória em placa de concreto, granito, granilite ou mármore</t>
  </si>
  <si>
    <t>Alvenaria de bloco cerâmico de vedação, uso revestido, de 14 cm</t>
  </si>
  <si>
    <t>Acessórios e Metais</t>
  </si>
  <si>
    <t>LAVATORIO PARA SANITARIO ACESSIVEL</t>
  </si>
  <si>
    <t>TANQUE DE LOUCA BRANCA,PEQUENO C/COLUNA</t>
  </si>
  <si>
    <t>Ducha higiênica com registro</t>
  </si>
  <si>
    <t>Torneira de mesa para pia com bica móvel e arejador em latão fundido cromado</t>
  </si>
  <si>
    <t>BEBEDOURO ELETRICO COM CAPACIDADE DE 40 L</t>
  </si>
  <si>
    <t>Cuba de louça de embutir oval</t>
  </si>
  <si>
    <t>ESPELHO DE CRISTAL</t>
  </si>
  <si>
    <t>Pç</t>
  </si>
  <si>
    <t>Caixa Sifonada Redonda c/ 3 Entradas n°69 Alumínio 100 x 100</t>
  </si>
  <si>
    <t xml:space="preserve">Rodapés da mesma linha e da mesma cor do piso, dimensão  8,5 x 40 cm, nas paredes que receberem acabamento em tinta látex. </t>
  </si>
  <si>
    <t xml:space="preserve">Piso em porcelanato sobre argamassa de regularização, dimensão 40 x 40 cm, referência comercial:  linha Grânulos, cor Alumínio NA. </t>
  </si>
  <si>
    <t>FORRO</t>
  </si>
  <si>
    <t>Massa Grossa Sarrafeada</t>
  </si>
  <si>
    <t>Impermeabilização em argamassa polimérica para sanitários e áreas molhadas.</t>
  </si>
  <si>
    <t>REGULARIZAÇÃO</t>
  </si>
  <si>
    <t>Rede de Esgotos e Águas Pluviais</t>
  </si>
  <si>
    <t>Água Fria e Água Quente</t>
  </si>
  <si>
    <t>Registro de Pressão metálico com adaptador 25x3/4" e conopla</t>
  </si>
  <si>
    <t>Registro de gaveta metálico com adaptador 25x3/4" e canopla</t>
  </si>
  <si>
    <t>Registro de gaveta bruto com adaptador 50x1 1/2"</t>
  </si>
  <si>
    <t>Caixa Sifonada Redonda c/ 1 Entrada n°66 Branca 100 x 100</t>
  </si>
  <si>
    <t>Ralo Seco Cilíndrico n° 76 c/ Grelha Branca 100 x 40</t>
  </si>
  <si>
    <t>Ralo Sifonado Redondo n° 2 c/ Grelha de Alumínio 100 x 38</t>
  </si>
  <si>
    <t>Alvenaria de bloco cerâmico de vedação, uso revestido, de 19 cm</t>
  </si>
  <si>
    <t>ARGAMASSA DE REGULARIZACAO CIM/AREIA 1:3 ESP=2,50CM</t>
  </si>
  <si>
    <t>Extintor manual de pó químico seco ABC - capacidade de 6 kg</t>
  </si>
  <si>
    <t>Extintor portátil de gás carbônico 5BC - capacidade de 06 kg</t>
  </si>
  <si>
    <t>Adesivo vinílico, padrão regulamentado, para sinalização de incêndio</t>
  </si>
  <si>
    <t>MASSA NIVELADORA PVA</t>
  </si>
  <si>
    <t>Forro em gesso monolítico.</t>
  </si>
  <si>
    <r>
      <t xml:space="preserve">OBRA: </t>
    </r>
    <r>
      <rPr>
        <b/>
        <sz val="12"/>
        <rFont val="Arial"/>
        <family val="2"/>
      </rPr>
      <t>Projeto de Reforma Sanitários Prédio C - IFGW</t>
    </r>
  </si>
  <si>
    <t>Local da obra: Rua Sérgio Buarque de Holanda, 777, Quadra 11, Cidade Universitária Zeferino Vaz – UNICAMP, Barão Geraldo - Campinas, SP</t>
  </si>
  <si>
    <t>Área da obra: 167,00 m²</t>
  </si>
  <si>
    <t>Impermeabilização em membrana de asfalto modificado com elastômeros, na cor preta (jardim e laje)</t>
  </si>
  <si>
    <t>Aplicação de látex PVA acetinado: cor Branco. (paredes internas)</t>
  </si>
  <si>
    <t>Locação de obra de edificação</t>
  </si>
  <si>
    <t>Válvula de metal cromado de 1´</t>
  </si>
  <si>
    <t>Válvula de metal cromado de 1 1/2´</t>
  </si>
  <si>
    <t>Engate flexível metálico DN= 1/2´</t>
  </si>
  <si>
    <t>CUBA SIMPLES ACO INOX</t>
  </si>
  <si>
    <t>BARRA DE APOIO P/DEFICIENTES EM INOX ESCOVADO</t>
  </si>
  <si>
    <t>BACIA P/ SANITARIO ACESSIVEL COM ASSENTO C/TAMPA EM RESINA DE POLIESTER BRANCA</t>
  </si>
  <si>
    <t>Sifão plástico sanfonado universal de 1´</t>
  </si>
  <si>
    <t>Dispenser papel higienico em ABS para rolão 300/600m, com visor</t>
  </si>
  <si>
    <t>Saboneteira tipo dispenser, para refil de 800 ml</t>
  </si>
  <si>
    <t>CONTRA-PISO PAVIMENTO SUPERIOR EM LASTRO DE CONCRETO C/ HIDROFUGO E=8cm</t>
  </si>
  <si>
    <t>Enchimento da laje superior com tijolos cerâmicos furados 11,5cm</t>
  </si>
  <si>
    <t>CONTRA-PISO TÉRREO EM LASTRO DE CONCRETO C/ HIDROFUGO E=10cm</t>
  </si>
  <si>
    <t>SUPERESTRUTURA</t>
  </si>
  <si>
    <t>ESQUADRIAS DE MADEIRA</t>
  </si>
  <si>
    <t>ESQUADRIAS METÁLICAS</t>
  </si>
  <si>
    <t>VIDROS</t>
  </si>
  <si>
    <t>COBERTURA</t>
  </si>
  <si>
    <t>ISOLAMENTO TÉRMICO</t>
  </si>
  <si>
    <t>REVESTIMENTO DE PAREDES INTERNAS</t>
  </si>
  <si>
    <t>REVESTIMENTO DE PAREDES EXTERNAS</t>
  </si>
  <si>
    <t>16.1</t>
  </si>
  <si>
    <t>17.1</t>
  </si>
  <si>
    <t>17.2</t>
  </si>
  <si>
    <t>17.3</t>
  </si>
  <si>
    <t>18.1</t>
  </si>
  <si>
    <t>17.4</t>
  </si>
  <si>
    <t>Prevenção e Combate a Incêndios</t>
  </si>
  <si>
    <t>ELETRODUTO GALVANIZADO 1"</t>
  </si>
  <si>
    <t>CONDULETE DE 1" MODELO "X" COM TAMPA E CONEXÃO</t>
  </si>
  <si>
    <t>ELETRODUTO TIPO CORRUGADO 1"</t>
  </si>
  <si>
    <t>CABO DE COBRE FLEXIVEL #2,5MM² - ISOLAMENTO 0,6/1KV</t>
  </si>
  <si>
    <t xml:space="preserve">INTERRUPTOR BIPOLAR SIMPLES COM PLACA </t>
  </si>
  <si>
    <t>LUMINÁRIA COM 2 LÂMPADAS FLUORESCENTES DE 32W, DE EMBUTIR. REFERÊNCIA COMERCIAL: MODELO 2180, CÓD. 2180.232.100, COR BRANCO - ITAIM, STOCK, PROJETO OU EQUIVALENTE TÉCNICO.</t>
  </si>
  <si>
    <t xml:space="preserve">LUMINÁRIA COM 2 LÂMPADAS FLUORESCENTES DE 32W, DE EMBUTIR. REFERÊNCIA COMERCIAL: MODELO 2180, CÓD. 2180.232.100, COR BRANCO - ITAIM, STOCK, PROJETO OU EQUIVALENTE TÉCNICO C/  MODULO DE ILUMINAÇÃO DE EMERGÊNCIA </t>
  </si>
  <si>
    <t>LUMINÁRIA COM 2 LÂMPADAS FLUORESCENTES DE 32W, DE SOBREPOR, REFLETOR E ALETAS EM ALUMÍNIO ANODIZADO DE ALTO BRILHO, EQUIPADA COM PORTA-LÂMPADA ANTIVIBRATÓRIO EM POLICARBONATO. REFERÊNCIA COMERCIAL: MODELO 3050, CÓD. 3050.232.300, COR BRANCO - ITAIM, STOCK, PROJETO OU EQUIVALENTE TÉCNICO.</t>
  </si>
  <si>
    <t>LUMINÁRIA COM 1 LÂMPADA FCE DE 18W, DE SOBREPOR, REFLETOR EM ALUMÍNIO ANODIZADO JATEADO. REFERÊNCIA COMERCIAL: MODELO PRATA-S, CÓD. 8194.1C4.3X0, COR BRANCO - ITAIM, STOCK, PROJETO OU EQUIVALENTE TÉCNICO.</t>
  </si>
  <si>
    <t xml:space="preserve">SUPRESSOR DE SURTO MONOFÁSICO </t>
  </si>
  <si>
    <t>DISJUNTOR BIPOLAR DE 20A</t>
  </si>
  <si>
    <t>DISJUNTOR UNIPOLAR DE 20A</t>
  </si>
  <si>
    <t>SISTEMA LÓGICO/CFTV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</si>
  <si>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</si>
  <si>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</si>
  <si>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</si>
  <si>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</si>
  <si>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</si>
  <si>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</si>
  <si>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</si>
  <si>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</si>
  <si>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</si>
  <si>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</si>
  <si>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2.2</t>
  </si>
  <si>
    <t>2.3</t>
  </si>
  <si>
    <t>2.4</t>
  </si>
  <si>
    <t>7.1</t>
  </si>
  <si>
    <t>7.2</t>
  </si>
  <si>
    <t>8.1</t>
  </si>
  <si>
    <t>8.2</t>
  </si>
  <si>
    <t>8.3</t>
  </si>
  <si>
    <t>8.4</t>
  </si>
  <si>
    <t>11.1</t>
  </si>
  <si>
    <t>11.2</t>
  </si>
  <si>
    <t>Vergas, contravergas e pilaretes de concreto armado</t>
  </si>
  <si>
    <t>6.6</t>
  </si>
  <si>
    <t>ESCAVAÇÃO MANUAL DE VALA EM SOLO DE 1ª CATEGORIA, PROFUNDIDADE ATÉ 1,80M</t>
  </si>
  <si>
    <t>Estaca escavada manualmente ate 5m, diâmetro de 30 cm até 30 t</t>
  </si>
  <si>
    <t>FORMA EM MADEIRA COMUM PARA FUNDAÇÃO (viga, pilar e bloco)</t>
  </si>
  <si>
    <t>Concreto usinado, fck = 25,0 MPa (viga, pilar e bloco)</t>
  </si>
  <si>
    <t>Cinta de amarração das parede em concreto armado</t>
  </si>
  <si>
    <t xml:space="preserve">Soleira em granito Arabesco branco, espessura 2 cm. </t>
  </si>
  <si>
    <t>Limpeza final da obra</t>
  </si>
  <si>
    <t>Forma em madeira comum para estrutura</t>
  </si>
  <si>
    <t>Concreto usinado, fck = 25,0 MPa (viga, lajes)</t>
  </si>
  <si>
    <t>Escarificação manual de parede existente com ponteiro, para colocação de revestimento.</t>
  </si>
  <si>
    <t>1.11</t>
  </si>
  <si>
    <t>1.12</t>
  </si>
  <si>
    <t xml:space="preserve">Demolição manual de revestimento cerâmico, incluindo a base </t>
  </si>
  <si>
    <t>Raspagem de pintura existente seguida de aplicação de seladora acrilica e pintura em latéx acrilico</t>
  </si>
  <si>
    <t>Aplicação SELAODR ACRILICO SEGUIDO DE de látex acrílico acetinado: cor Branco. (lajes)</t>
  </si>
  <si>
    <t>ARMADURA DE AÇO PARA ESTRUTURAS EM GERAL, CA-50, CORTE E DOBRA NA OBRA (viga e bloco)</t>
  </si>
  <si>
    <t>ARMADURA DE AÇO PARA ESTRUTURAS EM GERAL, CA-60, CORTE E DOBRA NA OBRA  (viga )</t>
  </si>
  <si>
    <t>ARMADURA DE AÇO PARA ESTRUTURAS EM GERAL, CA-50, CORTE E DOBRA NA OBRA (viga,lajes E PILAR)</t>
  </si>
  <si>
    <t>ARMADURA DE AÇO PARA ESTRUTURAS EM GERAL, CA-60, CORTE E DOBRA NA OBRA  (viga E PILAR)</t>
  </si>
  <si>
    <t>1.13</t>
  </si>
  <si>
    <t>CABO DE COBRE FLEXIVEL #4,0MM² - ISOLAMENTO 0,6/1KV</t>
  </si>
  <si>
    <t xml:space="preserve">AVISO SONORO E VISUAL PARA SANITÁRIO PNE </t>
  </si>
  <si>
    <t>PROLONGADOR + PLUG 2P + T EM LINHA DA PIAL</t>
  </si>
  <si>
    <t>TORNEIRA COM SENSOR DE PRESENÇA</t>
  </si>
  <si>
    <t>C.P.U</t>
  </si>
  <si>
    <t>SINAPI</t>
  </si>
  <si>
    <t>SECADOR DE MÃOS COM SIST. DE FOTOCELULA BIVOLT</t>
  </si>
  <si>
    <t>4.1.1</t>
  </si>
  <si>
    <t>4.1.2</t>
  </si>
  <si>
    <t>4.1.3</t>
  </si>
  <si>
    <t>4.2.1</t>
  </si>
  <si>
    <t>4.3.1</t>
  </si>
  <si>
    <t>4.3.2</t>
  </si>
  <si>
    <t>4.3.3</t>
  </si>
  <si>
    <t>4.3.4</t>
  </si>
  <si>
    <t>4.3.5</t>
  </si>
  <si>
    <t>4.3.6</t>
  </si>
  <si>
    <t>4.3.7</t>
  </si>
  <si>
    <t>5.1</t>
  </si>
  <si>
    <t>5.2</t>
  </si>
  <si>
    <t>5.3</t>
  </si>
  <si>
    <t>5.4</t>
  </si>
  <si>
    <t>5.5</t>
  </si>
  <si>
    <t>14.1</t>
  </si>
  <si>
    <t>14.2</t>
  </si>
  <si>
    <t>14.3</t>
  </si>
  <si>
    <t>14.4</t>
  </si>
  <si>
    <t>16.2</t>
  </si>
  <si>
    <t>16.3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</si>
  <si>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</si>
  <si>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</si>
  <si>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</si>
  <si>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</si>
  <si>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</si>
  <si>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</si>
  <si>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</si>
  <si>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</si>
  <si>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17.1.9</t>
  </si>
  <si>
    <t>17.1.10</t>
  </si>
  <si>
    <t>17.1.11</t>
  </si>
  <si>
    <t>17.1.12</t>
  </si>
  <si>
    <t>17.1.13</t>
  </si>
  <si>
    <t>17.1.14</t>
  </si>
  <si>
    <t>17.1.15</t>
  </si>
  <si>
    <t>17.2.1</t>
  </si>
  <si>
    <t>17.2.2</t>
  </si>
  <si>
    <t>17.2.3</t>
  </si>
  <si>
    <t>17.2.4</t>
  </si>
  <si>
    <t>17.2.5</t>
  </si>
  <si>
    <t>17.2.6</t>
  </si>
  <si>
    <t>17.2.7</t>
  </si>
  <si>
    <t>17.3.1</t>
  </si>
  <si>
    <t>17.3.2</t>
  </si>
  <si>
    <t>17.3.3</t>
  </si>
  <si>
    <t>17.4.1</t>
  </si>
  <si>
    <t>17.4.2</t>
  </si>
  <si>
    <t>17.4.3</t>
  </si>
  <si>
    <t>17.4.4</t>
  </si>
  <si>
    <t>17.4.5</t>
  </si>
  <si>
    <t>17.4.6</t>
  </si>
  <si>
    <t>17.4.7</t>
  </si>
  <si>
    <t>17.4.8</t>
  </si>
  <si>
    <t>17.4.9</t>
  </si>
  <si>
    <t>17.4.10</t>
  </si>
  <si>
    <t>17.4.11</t>
  </si>
  <si>
    <t>17.4.12</t>
  </si>
  <si>
    <t>17.4.13</t>
  </si>
  <si>
    <t>17.4.14</t>
  </si>
  <si>
    <t>17.4.15</t>
  </si>
  <si>
    <t>17.4.16</t>
  </si>
  <si>
    <t>17.4.17</t>
  </si>
  <si>
    <t>17.4.18</t>
  </si>
  <si>
    <t>17.4.19</t>
  </si>
  <si>
    <t>17.4.20</t>
  </si>
  <si>
    <t>17.4.21</t>
  </si>
  <si>
    <t>17.4.22</t>
  </si>
  <si>
    <t>17.4.23</t>
  </si>
  <si>
    <t>17.4.24</t>
  </si>
  <si>
    <t>17.4.25</t>
  </si>
  <si>
    <t>17.4.26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</si>
  <si>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</si>
  <si>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</si>
  <si>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</si>
  <si>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</si>
  <si>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</si>
  <si>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</si>
  <si>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</si>
  <si>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</si>
  <si>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</si>
  <si>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</si>
  <si>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</si>
  <si>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</si>
  <si>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</si>
  <si>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</si>
  <si>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</si>
  <si>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</si>
  <si>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</si>
  <si>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</si>
  <si>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</si>
  <si>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</si>
  <si>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</si>
  <si>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19.1</t>
  </si>
  <si>
    <t>19.2</t>
  </si>
  <si>
    <t>19.3</t>
  </si>
  <si>
    <t>19.4</t>
  </si>
  <si>
    <t>20.1</t>
  </si>
  <si>
    <t>16.1.1</t>
  </si>
  <si>
    <t>16.1.2</t>
  </si>
  <si>
    <t>16.1.3</t>
  </si>
  <si>
    <t>16.1.4</t>
  </si>
  <si>
    <t>ABRIGO GLP</t>
  </si>
  <si>
    <t xml:space="preserve">CAIXA DE INSPEÇÃO P/ ÁGUAS PLUVIAIS EM ALVENARIA - 60X60CM </t>
  </si>
  <si>
    <t>C.U.P</t>
  </si>
  <si>
    <t>Caixa Sifonada Redonda c/ 7 Entradas n°33 Alumínio 150 x 150 ( Com grelha abre/fecha metálica )</t>
  </si>
  <si>
    <t>17.1.16</t>
  </si>
  <si>
    <t>Ralo Sifonado Cilíndrico c/ joelho n° 75 c/ Grelha Branca 100 x 40  ( Com grelha abre/fecha metálica )</t>
  </si>
  <si>
    <t>CAIXA DE GORDURA EM PVC 250X230X75MM, COM TAMPA E PORTA-TAMPA, FORNECIMENTO E INSTALACAO</t>
  </si>
  <si>
    <t>17.1.17</t>
  </si>
  <si>
    <t>IMPERMEABILIZAÇÃO RESPALDO ALVENARIA EMBASAMENTO COM CHAPISCO, ARGAMASSA COM HIDROFUGO E TINTA BETUMINOSA</t>
  </si>
  <si>
    <t>11.3</t>
  </si>
  <si>
    <t>ALVENARIA DE EMBASAMENTO EM TIJOLOS CERAMICOS MACICOS 5X10X20CM, ASSENTADO COM ARGAMASSA TRACO 1:2:8 (CIMENTO, CAL E AREIA)</t>
  </si>
  <si>
    <t>6.7</t>
  </si>
  <si>
    <t>Demolição de piso existente</t>
  </si>
  <si>
    <t>1.14</t>
  </si>
  <si>
    <t>SISTEMA DE EXAUSTÃO</t>
  </si>
  <si>
    <t>21.1</t>
  </si>
  <si>
    <t>21.2</t>
  </si>
  <si>
    <t>21.3</t>
  </si>
  <si>
    <t>Ventilador Centrífugo simples aspiração, vazão 4000m³/h, 15mmCA,</t>
  </si>
  <si>
    <t>Grelhas de Retorno lâminas fixas 400x250mm com registro</t>
  </si>
  <si>
    <t>Duto giroval 530x200mm sem isolamento</t>
  </si>
  <si>
    <t>Curva 45° giroval 530x200mm sem isolamento</t>
  </si>
  <si>
    <t>Curva 90° giroval 530x200mm sem isolamento</t>
  </si>
  <si>
    <t xml:space="preserve">Damper regulador de vazão tipo borboleta oval 530x200mm </t>
  </si>
  <si>
    <t>Chapa de aço galvanizado #24</t>
  </si>
  <si>
    <t>Amortecedor de vibração tipo coxim de borracha</t>
  </si>
  <si>
    <t>Base metálica tipo mão francesa</t>
  </si>
  <si>
    <t>Conexão flexível tipo lona em tiras de 15cm</t>
  </si>
  <si>
    <t>INSTALAÇÃO DE RENOVAÇÃO DE AR</t>
  </si>
  <si>
    <t>20.1.1</t>
  </si>
  <si>
    <t>20.1.2</t>
  </si>
  <si>
    <t>20.1.3</t>
  </si>
  <si>
    <t>20.1.4</t>
  </si>
  <si>
    <t>20.1.5</t>
  </si>
  <si>
    <t>20.1.6</t>
  </si>
  <si>
    <t>20.1.7</t>
  </si>
  <si>
    <t>20.1.8</t>
  </si>
  <si>
    <t>20.1.9</t>
  </si>
  <si>
    <t>20.1.10</t>
  </si>
  <si>
    <t>PMSP/consulta*</t>
  </si>
  <si>
    <t>Data: 19/08/2013</t>
  </si>
  <si>
    <t>DISJUNTOR TRIPOLAR DE 20A</t>
  </si>
  <si>
    <t>ELETROCALHA LISA 100X50MM COM TAMPA</t>
  </si>
  <si>
    <t>PERFILADO 38X38X3000</t>
  </si>
  <si>
    <t>ELETRODUTO GALVANIZADO 2"</t>
  </si>
  <si>
    <t>CONDULETE DE 2" MODELO "X" COM TAMPA E CONEXÃO</t>
  </si>
  <si>
    <t>CONDULETE DE 2" MODELO "X" COM TAMPA, TOMADA E CONEXÃO</t>
  </si>
  <si>
    <t>CONDULETE DE 1" MODELO "X" COM TAMPA, TOMADA E CONEXÃO</t>
  </si>
  <si>
    <t xml:space="preserve">CAIXA 4X2 </t>
  </si>
  <si>
    <t>CAIXA 4X4</t>
  </si>
  <si>
    <t>DUTO DE ALUMINIO COM DIVISÃO INTERNA, DIMENSÕES DE 73X25MM C/TAMPA E ACESSÓRIOS</t>
  </si>
  <si>
    <t>ADAPTADOR DE TUBO 2XØ1" PARA DUTO DE ALUMÍNIO</t>
  </si>
  <si>
    <t>CURVA VERTICAL DE 90 P/DUTO DE ALUMÍNIO EXTRENA</t>
  </si>
  <si>
    <t>CURVA VERTICAL DE 90 P/DUTO DE ALUMÍNIO INTERNA</t>
  </si>
  <si>
    <t xml:space="preserve">CURVA VERTICAL 90º STANDARD </t>
  </si>
  <si>
    <t xml:space="preserve">CAIXA P/ DUTO DE ALUMÍNIO COM INTERRUPTOR BIPOLAR </t>
  </si>
  <si>
    <t>CAIXA P/ DUTO DE ALUMÍNIO COM 1 TOMADA 2P+T</t>
  </si>
  <si>
    <t>CABO DE COBRE FLEXIVEL #6,0MM² - ISOLAMENTO 0,6/1KV</t>
  </si>
  <si>
    <t>CABO DE COBRE FLEXIVEL #16,0MM² - ISOLAMENTO 0,6/1KV</t>
  </si>
  <si>
    <t xml:space="preserve">LUMINÁRIA COM 2 LÂMPADAS FLUORESCENTES DE 32W, DE SOBREPOR, REFLETOR E ALETAS EM ALUMÍNIO ANODIZADO DE ALTO BRILHO, EQUIPADA COM PORTA-LÂMPADA ANTIVIBRATÓRIO EM POLICARBONATO. REFERÊNCIA COMERCIAL: MODELO 3050, CÓD. 3050.232.300, COR BRANCO - ITAIM, STOCK, PROJETO OU EQUIVALENTE TÉCNICO C/  MODULO DE ILUMINAÇÃO DE EMERGÊNCIA 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</si>
  <si>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</si>
  <si>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</si>
  <si>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</si>
  <si>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</si>
  <si>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</si>
  <si>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</si>
  <si>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</si>
  <si>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</si>
  <si>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</si>
  <si>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</si>
  <si>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</si>
  <si>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</si>
  <si>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</si>
  <si>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</si>
  <si>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</si>
  <si>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</si>
  <si>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</si>
  <si>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</si>
  <si>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</si>
  <si>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8.5</t>
  </si>
  <si>
    <t>8.6</t>
  </si>
  <si>
    <t>8.7</t>
  </si>
  <si>
    <t>LANÇAMENTO E ADENSAMENTO DE CONCRETO OU MASSA EM ESTRUTURA</t>
  </si>
  <si>
    <t xml:space="preserve">QUADRO DE DISTRIBUIÇÃO UNIVERSAL DE SOBREPOR NA COR BEGE (RAL 7032) , PARA 24 DISJUNTORES COM BARRAMENTO TRIFÁSICO DE 100A MEDINDO 50X80X20 CM. </t>
  </si>
  <si>
    <t>DISJUNTOR TRIPOLAR DE 63A</t>
  </si>
  <si>
    <t>DISJUNTOR BIPOLAR DIFERENCIAL -DR DE 25A X 30  mA</t>
  </si>
  <si>
    <t>DISJUNTOR BIPOLAR DIFERENCIAL RESIDUAL DDR DE 40A x 30 mA</t>
  </si>
  <si>
    <t>ARANDELA EM ALUMÍNIO PINTADO COM 1 LÂMPADA FCE 23W, DE EMBUTIR, REFLETOR EM ALUMÍNIO ANODIZADO. INSTALAÇÃO A H = 2,20 M. REFERÊNCIA COMERCIAL: MODELO STA 315, COR BRANCO - STOCK, PROJETO, LUMINI OU EQUIVALENTE TÉCNICO.</t>
  </si>
  <si>
    <t>DUTOTEC</t>
  </si>
  <si>
    <t>Apresentar planilha com o cálculo do BDI - o BDI adotado pela UNICAMP hoje é 28%.</t>
  </si>
  <si>
    <t>P01- Porta em madeira encabeçada, 80x210cm, espessura 35 mm. 01 folha de abrir, completa com batentes de madeira e ferragens. Acabamento em pintura esmalte sintético acetinado.</t>
  </si>
  <si>
    <t>Porta em madeira encabeçada, 90x210cm, espessura 35 mm. 01 folha de abrir, completa com batentes de madeira, barra de apoio em aço inox e ferragens. Acabamento em pintura esmalte sintético acetinado.</t>
  </si>
  <si>
    <t>P04 - Porta em alumínio com venezianas ventiladas, 03 folhas de correr. Acabamento em pintura eletrostática cor branco.</t>
  </si>
  <si>
    <t>P03 - Porta em alumínio com venezianas ventiladas, 01 folha de abrir. Acabamento em pintura eletrostática cor branco.</t>
  </si>
  <si>
    <t>J01 - Caixilho em alumínio, 03 folhas maxim-ar com extensor para abertura. Acabamento em pintura eletrostática cor branco.</t>
  </si>
  <si>
    <t>J02 - Caixilho em alumínio, 01 folha maxim-ar com extensor para abertura. Acabamento em pintura eletrostática cor branco.</t>
  </si>
  <si>
    <t>J03 - Caixilho em alumínio, 01 folha maxim-ar com extensor para abertura. Acabamento em pintura eletrostática cor branco.</t>
  </si>
  <si>
    <t>J04 - Caixilho em alumínio, 02 folhas maxim-ar com extensor para abertura.  Acabamento em pintura eletrostática cor branco.</t>
  </si>
  <si>
    <t>J05 - Caixilho em alumínio, 04 folhas, sendo 02 maxim-ar com extensor para abertura, 01 folha fixa e uma abertura para colocação de aparelho de ar condicionado.  Acabamento em pintura eletrostática cor branco.</t>
  </si>
  <si>
    <t>Vidro fantasia, boreal, incolor, espessura 4 mm</t>
  </si>
  <si>
    <t>16.4</t>
  </si>
  <si>
    <t xml:space="preserve">Peitoril em granito Arabesco branco, espessura 2 cm, largura de 21 a 30cm. </t>
  </si>
  <si>
    <t>Tubo Esgoto de PVC Esgoto Série Normal DN 40 (mm) com conexões.</t>
  </si>
  <si>
    <t>Tubo Esgoto de PVC Esgoto Série Normal DN 50 (mm) com conexões.</t>
  </si>
  <si>
    <t>Tubo Esgoto de PVC Esgoto Série Normal DN 75 (mm) com conexões.</t>
  </si>
  <si>
    <t>Tubo Esgoto de PVC Esgoto Série Normal DN 100(mm) com conexões.</t>
  </si>
  <si>
    <t>Tubo PVC Esg. Série Reforçada DN 40 (mm) com conexões.</t>
  </si>
  <si>
    <t>Tubo PVC Esg. Série Reforçada DN 50 (mm) com conexões.</t>
  </si>
  <si>
    <t>Tubo PVC Esg. Série Reforçada DN 75 (mm) com conexões.</t>
  </si>
  <si>
    <t>Tubo PVC Esg. Série Reforçada DN 100(mm) com conexões.</t>
  </si>
  <si>
    <t>Tubo PVC Esg. Série Reforçada DN 150 (mm) com conexões.</t>
  </si>
  <si>
    <t>Tubo Soldável 25mm com conexões.</t>
  </si>
  <si>
    <t>Tubo Soldável 32mm com conexões.</t>
  </si>
  <si>
    <t>Tubo Soldável 40mm com conexões.</t>
  </si>
  <si>
    <t>Tubo Soldável 50mm com conexões.</t>
  </si>
  <si>
    <t>BACIA SIFONADA DE LOUCA BRANCA (VDR 6L) C/ CAIXA DE DESCARGA EMBUTIDA E ASSENTO C/TAMPA PLASTICA BRANCA P/BACIA SANITARIA</t>
  </si>
  <si>
    <t>MICTORIO DE LOUCA SIFONADO/AUTO ASPIRANTE BRANCO COM VÁLVULA COM SENSOR ANTI VANDALISMO.</t>
  </si>
  <si>
    <t>BDI 28,00%</t>
  </si>
  <si>
    <t>Na composição de custos do revestimento das alvenarias deverá ser previsto cantoneira de aço galvanizado nas arestas e cantos vivos onde revestimento e reboco e de alumínio onde o revestimento é cerâmico.</t>
  </si>
  <si>
    <t>A descrição dos itens da planilha devem estar perfeitamente detalhadas para não abrir possibilidade das construtoras pleitearem aditivos. Por exemplo: se o mictório é com válvula antivandalismo e sensor de presença isto deverá estar claramente descrito na especificação da planilha e assim com todos os itens, sempre tendo foco na proatividade para evitar pleitos de aditivos da parte das construtoras.</t>
  </si>
  <si>
    <t>CANTEIRO DE OBRAS CONFORME NR-18 E NR-24.</t>
  </si>
  <si>
    <t xml:space="preserve">Divisória em laminado melamínico estrutural TS, espessura 20mm com fixações. Mictório </t>
  </si>
  <si>
    <t>Divisória e porta em laminado melamínico estrutural TS, com batentes e ferragens, espessura 10mm Banheiro (h=1,80m)</t>
  </si>
  <si>
    <t>Raspagem de pintura e lixamento</t>
  </si>
  <si>
    <t>Remoção de entulho/terra com caçamba metálica ou caminhão basculante, independente da distância do local de despejo, inclusive carga e descarga</t>
  </si>
  <si>
    <t>Revestimento em placas cerâmicas com acabamento acetinado, medida 20 x 20 cm, assentadas em junta prumo sobre massa grossa sarrafeada até o teto, cor White, inclusive cantoneira de alumínio.</t>
  </si>
  <si>
    <t>EMBOÇO DESEMPENADO COM ESPUMA DE POLIÉSTER, INCLUSIVE CANTONEIRA DE AÇO GALVANIZADO.</t>
  </si>
  <si>
    <t>Bancadas em granito Arabesco Branco, espessura 3 cm. (0,52X5,78), inclusive frontões, saias e suportes de fixação.</t>
  </si>
  <si>
    <t>Bancadas em granito Arabesco Branco, espessura 3 cm. (0,52X4,42), inclusive frontões, saias e suportes de fixação.</t>
  </si>
  <si>
    <t>Bancadas em granito Arabesco Branco, espessura 3 cm. (0,62X1,52), inclusive frontões, saias e suportes de fixação.</t>
  </si>
  <si>
    <t>Bancadas em granito Arabesco Branco, espessura 3 cm. (0,52*3,08), inclusive frontões, saias e suportes de fixação.</t>
  </si>
  <si>
    <t>Bancadas em granito Arabesco Branco, espessura 3 cm. (0,52*2,42), inclusive frontões, saias e suportes de fixação.</t>
  </si>
  <si>
    <t>14.5</t>
  </si>
  <si>
    <t>CANTONEIRA  EM ALUMÍNIO PARA PROTEÇÃO DE QUINAS DE SUPERFÍCIE COM REVESTIMENTO CERÂMICO.</t>
  </si>
  <si>
    <t>14.6</t>
  </si>
  <si>
    <t>CANTONEIRA EM AÇO GALVANIZADO PARA PROTEÇÃO DE QUINAS DE SUPERFÍCIE COM REBOCO</t>
  </si>
  <si>
    <t xml:space="preserve">PREÇO TOTAL FINAL: </t>
  </si>
  <si>
    <t>3.1</t>
  </si>
  <si>
    <t>3.1.1</t>
  </si>
  <si>
    <t>3.1.2</t>
  </si>
  <si>
    <t>3.1.3</t>
  </si>
  <si>
    <t>3.2</t>
  </si>
  <si>
    <t>3.2.1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</si>
  <si>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</si>
  <si>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</si>
  <si>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</si>
  <si>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</si>
  <si>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</si>
  <si>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</si>
  <si>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</si>
  <si>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</si>
  <si>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4.4</t>
  </si>
  <si>
    <t>4.5</t>
  </si>
  <si>
    <t>5.6</t>
  </si>
  <si>
    <t>7.3</t>
  </si>
  <si>
    <t>7.4</t>
  </si>
  <si>
    <t>7.5</t>
  </si>
  <si>
    <t>7.6</t>
  </si>
  <si>
    <t>7.7</t>
  </si>
  <si>
    <t>9.2</t>
  </si>
  <si>
    <t>9.3</t>
  </si>
  <si>
    <t>10.1</t>
  </si>
  <si>
    <t>11.4</t>
  </si>
  <si>
    <t>11.5</t>
  </si>
  <si>
    <t>11.6</t>
  </si>
  <si>
    <t>12.1</t>
  </si>
  <si>
    <t>12.2</t>
  </si>
  <si>
    <t>12.3</t>
  </si>
  <si>
    <t>12.4</t>
  </si>
  <si>
    <t>12.5.1</t>
  </si>
  <si>
    <t>12.5.2</t>
  </si>
  <si>
    <t>12.5.3</t>
  </si>
  <si>
    <t>12.5.4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</si>
  <si>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</si>
  <si>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</si>
  <si>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</si>
  <si>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</si>
  <si>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</si>
  <si>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</si>
  <si>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</si>
  <si>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</si>
  <si>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</si>
  <si>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</si>
  <si>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</si>
  <si>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</si>
  <si>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</si>
  <si>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</si>
  <si>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</si>
  <si>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</si>
  <si>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13.1.17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</si>
  <si>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</si>
  <si>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</si>
  <si>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</si>
  <si>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</si>
  <si>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</si>
  <si>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</si>
  <si>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</si>
  <si>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</si>
  <si>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13.3</t>
  </si>
  <si>
    <t>13.3.1</t>
  </si>
  <si>
    <t>13.3.2</t>
  </si>
  <si>
    <t>13.3.3</t>
  </si>
  <si>
    <t>13.4</t>
  </si>
  <si>
    <t>13.4.1</t>
  </si>
  <si>
    <t>13.4.2</t>
  </si>
  <si>
    <t>13.4.3</t>
  </si>
  <si>
    <t>13.4.4</t>
  </si>
  <si>
    <t>13.4.5</t>
  </si>
  <si>
    <t>13.4.6</t>
  </si>
  <si>
    <t>13.4.7</t>
  </si>
  <si>
    <t>13.4.8</t>
  </si>
  <si>
    <t>13.4.9</t>
  </si>
  <si>
    <t>13.4.10</t>
  </si>
  <si>
    <t>13.4.11</t>
  </si>
  <si>
    <t>13.4.12</t>
  </si>
  <si>
    <t>13.4.13</t>
  </si>
  <si>
    <t>13.4.14</t>
  </si>
  <si>
    <t>13.4.15</t>
  </si>
  <si>
    <t>13.4.16</t>
  </si>
  <si>
    <t>13.4.17</t>
  </si>
  <si>
    <t>13.4.18</t>
  </si>
  <si>
    <t>13.4.19</t>
  </si>
  <si>
    <t>13.4.20</t>
  </si>
  <si>
    <t>13.4.21</t>
  </si>
  <si>
    <t>13.4.22</t>
  </si>
  <si>
    <t>13.4.23</t>
  </si>
  <si>
    <t>13.4.24</t>
  </si>
  <si>
    <t>13.4.25</t>
  </si>
  <si>
    <t>13.4.26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</si>
  <si>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</si>
  <si>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</si>
  <si>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</si>
  <si>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</si>
  <si>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</si>
  <si>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</si>
  <si>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</si>
  <si>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</si>
  <si>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</si>
  <si>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</si>
  <si>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</si>
  <si>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</si>
  <si>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</si>
  <si>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</si>
  <si>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</si>
  <si>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</si>
  <si>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</si>
  <si>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</si>
  <si>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</si>
  <si>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</si>
  <si>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</si>
  <si>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</si>
  <si>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</si>
  <si>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</si>
  <si>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</si>
  <si>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</si>
  <si>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</si>
  <si>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</si>
  <si>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</si>
  <si>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</si>
  <si>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</si>
  <si>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</si>
  <si>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</si>
  <si>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</si>
  <si>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</si>
  <si>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15.1</t>
  </si>
  <si>
    <t>15.2</t>
  </si>
  <si>
    <t>15.3</t>
  </si>
  <si>
    <t>15.4</t>
  </si>
  <si>
    <t>16.1.5</t>
  </si>
  <si>
    <t>16.1.6</t>
  </si>
  <si>
    <t>16.1.7</t>
  </si>
  <si>
    <t>16.1.8</t>
  </si>
  <si>
    <t>16.1.9</t>
  </si>
  <si>
    <t>16.1.10</t>
  </si>
  <si>
    <t xml:space="preserve">ESTACAS </t>
  </si>
  <si>
    <t>Data:</t>
  </si>
  <si>
    <t>%</t>
  </si>
  <si>
    <t>As licitantes devem elaborar suas planilhas nos moldes desta planilha preenchendo todos os campos e colunas deixados em branco, a saber: Material, Mão de Obra, Preços Unitários, Preços Totais, BDI(%), e Leis Sociais(%). Todos os custos diretos, necessários para a completa execução de cada um dos itens de serviço, e que porventura não estejam discriminados como itens independentes na Planilha Orçamentária do Edital, devem ser incorporados à composição de custos dos itens correlatos na planilha a ser preenchida pela LICITANTE.”</t>
  </si>
  <si>
    <t>BDI (  %)</t>
  </si>
  <si>
    <t>12.5</t>
  </si>
  <si>
    <t>BDI:  %</t>
  </si>
  <si>
    <t>R$ Total 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</si>
</sst>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d\/mm\/yy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9"/>
      <color rgb="FF000000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rgb="FF000000"/>
      <name val="Arial"/>
      <family val="2"/>
    </font>
    <font>
      <sz val="12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8">
    <xf numFmtId="0" fontId="0" fillId="0" borderId="0"/>
    <xf numFmtId="0" fontId="9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1" applyNumberFormat="0" applyAlignment="0" applyProtection="0"/>
    <xf numFmtId="0" fontId="17" fillId="22" borderId="12" applyNumberFormat="0" applyAlignment="0" applyProtection="0"/>
    <xf numFmtId="0" fontId="18" fillId="0" borderId="13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1" applyNumberFormat="0" applyAlignment="0" applyProtection="0"/>
    <xf numFmtId="0" fontId="20" fillId="30" borderId="0" applyNumberFormat="0" applyBorder="0" applyAlignment="0" applyProtection="0"/>
    <xf numFmtId="0" fontId="10" fillId="0" borderId="0" applyNumberFormat="0" applyFill="0" applyBorder="0" applyProtection="0">
      <alignment vertical="center"/>
    </xf>
    <xf numFmtId="0" fontId="21" fillId="31" borderId="0" applyNumberFormat="0" applyBorder="0" applyAlignment="0" applyProtection="0"/>
    <xf numFmtId="0" fontId="11" fillId="0" borderId="0"/>
    <xf numFmtId="0" fontId="11" fillId="0" borderId="0"/>
    <xf numFmtId="0" fontId="12" fillId="0" borderId="0"/>
    <xf numFmtId="0" fontId="9" fillId="0" borderId="0"/>
    <xf numFmtId="0" fontId="12" fillId="0" borderId="0"/>
    <xf numFmtId="0" fontId="11" fillId="0" borderId="0"/>
    <xf numFmtId="0" fontId="8" fillId="0" borderId="0">
      <alignment vertical="top"/>
    </xf>
    <xf numFmtId="0" fontId="22" fillId="0" borderId="0"/>
    <xf numFmtId="0" fontId="13" fillId="32" borderId="14" applyNumberFormat="0" applyFont="0" applyAlignment="0" applyProtection="0"/>
    <xf numFmtId="165" fontId="10" fillId="0" borderId="0" applyFill="0" applyBorder="0" applyProtection="0">
      <alignment horizontal="right" vertical="center"/>
    </xf>
    <xf numFmtId="9" fontId="9" fillId="0" borderId="0" applyFont="0" applyFill="0" applyBorder="0" applyAlignment="0" applyProtection="0"/>
    <xf numFmtId="165" fontId="10" fillId="0" borderId="0" applyFill="0" applyBorder="0" applyProtection="0">
      <alignment horizontal="right" vertical="center"/>
    </xf>
    <xf numFmtId="9" fontId="8" fillId="0" borderId="0" applyFont="0" applyFill="0" applyBorder="0" applyAlignment="0" applyProtection="0">
      <alignment vertical="top"/>
    </xf>
    <xf numFmtId="9" fontId="8" fillId="0" borderId="0" applyFont="0" applyFill="0" applyBorder="0" applyAlignment="0" applyProtection="0">
      <alignment vertical="top"/>
    </xf>
    <xf numFmtId="0" fontId="23" fillId="21" borderId="15" applyNumberFormat="0" applyAlignment="0" applyProtection="0"/>
    <xf numFmtId="0" fontId="11" fillId="0" borderId="0" applyNumberFormat="0" applyFont="0" applyFill="0" applyBorder="0" applyProtection="0">
      <alignment vertical="center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0" fillId="0" borderId="19" applyNumberFormat="0" applyFill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>
      <alignment vertical="top"/>
    </xf>
    <xf numFmtId="164" fontId="8" fillId="0" borderId="0" applyFont="0" applyFill="0" applyBorder="0" applyAlignment="0" applyProtection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4" applyNumberFormat="0" applyFont="0" applyAlignment="0" applyProtection="0"/>
    <xf numFmtId="0" fontId="3" fillId="0" borderId="0"/>
    <xf numFmtId="0" fontId="9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14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14" applyNumberFormat="0" applyFont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4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4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4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4" applyNumberFormat="0" applyFont="0" applyAlignment="0" applyProtection="0"/>
    <xf numFmtId="0" fontId="1" fillId="0" borderId="0"/>
  </cellStyleXfs>
  <cellXfs count="305">
    <xf numFmtId="0" fontId="0" fillId="0" borderId="0" xfId="0"/>
    <xf numFmtId="0" fontId="5" fillId="0" borderId="0" xfId="0" applyFont="1" applyBorder="1"/>
    <xf numFmtId="0" fontId="6" fillId="0" borderId="0" xfId="0" applyFont="1" applyBorder="1"/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6" fillId="33" borderId="0" xfId="0" applyFont="1" applyFill="1" applyBorder="1"/>
    <xf numFmtId="0" fontId="5" fillId="0" borderId="2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10" fontId="5" fillId="0" borderId="3" xfId="0" applyNumberFormat="1" applyFont="1" applyFill="1" applyBorder="1" applyAlignment="1">
      <alignment horizontal="right"/>
    </xf>
    <xf numFmtId="17" fontId="5" fillId="0" borderId="3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/>
    <xf numFmtId="0" fontId="6" fillId="0" borderId="7" xfId="0" applyFont="1" applyFill="1" applyBorder="1" applyAlignment="1"/>
    <xf numFmtId="0" fontId="6" fillId="0" borderId="1" xfId="0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/>
    </xf>
    <xf numFmtId="0" fontId="5" fillId="0" borderId="6" xfId="0" applyFont="1" applyFill="1" applyBorder="1" applyAlignment="1"/>
    <xf numFmtId="4" fontId="5" fillId="0" borderId="7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right"/>
    </xf>
    <xf numFmtId="0" fontId="5" fillId="0" borderId="10" xfId="0" applyFont="1" applyFill="1" applyBorder="1"/>
    <xf numFmtId="0" fontId="5" fillId="33" borderId="1" xfId="0" applyFont="1" applyFill="1" applyBorder="1" applyAlignment="1">
      <alignment horizontal="right"/>
    </xf>
    <xf numFmtId="0" fontId="31" fillId="33" borderId="1" xfId="0" applyFont="1" applyFill="1" applyBorder="1"/>
    <xf numFmtId="0" fontId="5" fillId="33" borderId="4" xfId="0" applyFont="1" applyFill="1" applyBorder="1" applyAlignment="1">
      <alignment horizontal="center"/>
    </xf>
    <xf numFmtId="4" fontId="5" fillId="33" borderId="1" xfId="0" applyNumberFormat="1" applyFont="1" applyFill="1" applyBorder="1" applyAlignment="1">
      <alignment horizontal="center"/>
    </xf>
    <xf numFmtId="2" fontId="5" fillId="33" borderId="1" xfId="0" applyNumberFormat="1" applyFont="1" applyFill="1" applyBorder="1" applyAlignment="1">
      <alignment horizontal="right"/>
    </xf>
    <xf numFmtId="2" fontId="31" fillId="33" borderId="1" xfId="0" applyNumberFormat="1" applyFont="1" applyFill="1" applyBorder="1"/>
    <xf numFmtId="4" fontId="5" fillId="33" borderId="1" xfId="0" applyNumberFormat="1" applyFont="1" applyFill="1" applyBorder="1" applyAlignment="1">
      <alignment horizontal="right"/>
    </xf>
    <xf numFmtId="0" fontId="5" fillId="33" borderId="1" xfId="37" applyFont="1" applyFill="1" applyBorder="1" applyAlignment="1">
      <alignment horizontal="left" vertical="center" wrapText="1"/>
    </xf>
    <xf numFmtId="0" fontId="31" fillId="33" borderId="1" xfId="0" applyFont="1" applyFill="1" applyBorder="1" applyAlignment="1">
      <alignment wrapText="1"/>
    </xf>
    <xf numFmtId="4" fontId="5" fillId="33" borderId="1" xfId="0" applyNumberFormat="1" applyFont="1" applyFill="1" applyBorder="1" applyAlignment="1">
      <alignment horizontal="center" vertical="center"/>
    </xf>
    <xf numFmtId="0" fontId="5" fillId="33" borderId="1" xfId="37" applyFont="1" applyFill="1" applyBorder="1" applyAlignment="1">
      <alignment horizontal="left" vertical="justify" wrapText="1"/>
    </xf>
    <xf numFmtId="0" fontId="5" fillId="33" borderId="1" xfId="37" applyFont="1" applyFill="1" applyBorder="1" applyAlignment="1">
      <alignment horizontal="center" vertical="justify" wrapText="1"/>
    </xf>
    <xf numFmtId="0" fontId="5" fillId="33" borderId="0" xfId="0" applyFont="1" applyFill="1" applyBorder="1"/>
    <xf numFmtId="0" fontId="5" fillId="33" borderId="1" xfId="37" applyFont="1" applyFill="1" applyBorder="1" applyAlignment="1">
      <alignment horizontal="center"/>
    </xf>
    <xf numFmtId="2" fontId="5" fillId="33" borderId="1" xfId="37" applyNumberFormat="1" applyFont="1" applyFill="1" applyBorder="1" applyAlignment="1">
      <alignment horizontal="right"/>
    </xf>
    <xf numFmtId="0" fontId="5" fillId="33" borderId="1" xfId="37" applyFont="1" applyFill="1" applyBorder="1" applyAlignment="1"/>
    <xf numFmtId="0" fontId="9" fillId="33" borderId="1" xfId="0" applyFont="1" applyFill="1" applyBorder="1" applyAlignment="1">
      <alignment horizontal="center" vertical="top" wrapText="1"/>
    </xf>
    <xf numFmtId="2" fontId="5" fillId="33" borderId="1" xfId="37" applyNumberFormat="1" applyFont="1" applyFill="1" applyBorder="1" applyAlignment="1">
      <alignment horizontal="center"/>
    </xf>
    <xf numFmtId="0" fontId="6" fillId="33" borderId="5" xfId="37" applyFont="1" applyFill="1" applyBorder="1" applyAlignment="1">
      <alignment vertical="justify" wrapText="1"/>
    </xf>
    <xf numFmtId="0" fontId="6" fillId="33" borderId="1" xfId="37" applyFont="1" applyFill="1" applyBorder="1" applyAlignment="1">
      <alignment wrapText="1"/>
    </xf>
    <xf numFmtId="0" fontId="31" fillId="33" borderId="0" xfId="0" applyFont="1" applyFill="1"/>
    <xf numFmtId="0" fontId="6" fillId="33" borderId="1" xfId="0" applyFont="1" applyFill="1" applyBorder="1" applyAlignment="1">
      <alignment horizontal="right" wrapText="1"/>
    </xf>
    <xf numFmtId="4" fontId="6" fillId="33" borderId="1" xfId="0" applyNumberFormat="1" applyFont="1" applyFill="1" applyBorder="1" applyAlignment="1">
      <alignment horizontal="right"/>
    </xf>
    <xf numFmtId="0" fontId="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vertical="top" wrapText="1"/>
    </xf>
    <xf numFmtId="2" fontId="5" fillId="33" borderId="1" xfId="0" applyNumberFormat="1" applyFont="1" applyFill="1" applyBorder="1" applyAlignment="1">
      <alignment horizontal="center"/>
    </xf>
    <xf numFmtId="2" fontId="31" fillId="33" borderId="1" xfId="0" applyNumberFormat="1" applyFont="1" applyFill="1" applyBorder="1" applyAlignment="1">
      <alignment horizontal="right" vertical="center" wrapText="1"/>
    </xf>
    <xf numFmtId="0" fontId="6" fillId="33" borderId="5" xfId="0" applyFont="1" applyFill="1" applyBorder="1" applyAlignment="1">
      <alignment wrapText="1"/>
    </xf>
    <xf numFmtId="0" fontId="6" fillId="33" borderId="6" xfId="0" applyFont="1" applyFill="1" applyBorder="1" applyAlignment="1"/>
    <xf numFmtId="0" fontId="6" fillId="33" borderId="7" xfId="0" applyFont="1" applyFill="1" applyBorder="1" applyAlignment="1"/>
    <xf numFmtId="0" fontId="6" fillId="33" borderId="1" xfId="0" applyFont="1" applyFill="1" applyBorder="1" applyAlignment="1">
      <alignment horizontal="left" wrapText="1"/>
    </xf>
    <xf numFmtId="0" fontId="5" fillId="33" borderId="1" xfId="0" applyFont="1" applyFill="1" applyBorder="1" applyAlignment="1">
      <alignment vertical="center" wrapText="1"/>
    </xf>
    <xf numFmtId="0" fontId="5" fillId="33" borderId="4" xfId="0" applyFont="1" applyFill="1" applyBorder="1" applyAlignment="1">
      <alignment horizontal="left" wrapText="1"/>
    </xf>
    <xf numFmtId="0" fontId="6" fillId="33" borderId="4" xfId="0" applyFont="1" applyFill="1" applyBorder="1" applyAlignment="1">
      <alignment horizontal="left" wrapText="1"/>
    </xf>
    <xf numFmtId="0" fontId="6" fillId="33" borderId="1" xfId="0" applyFont="1" applyFill="1" applyBorder="1" applyAlignment="1">
      <alignment horizontal="left" vertical="center" wrapText="1"/>
    </xf>
    <xf numFmtId="0" fontId="5" fillId="33" borderId="1" xfId="0" applyFont="1" applyFill="1" applyBorder="1" applyAlignment="1">
      <alignment horizontal="left" vertical="center" wrapText="1"/>
    </xf>
    <xf numFmtId="0" fontId="5" fillId="33" borderId="1" xfId="0" applyFont="1" applyFill="1" applyBorder="1" applyAlignment="1">
      <alignment horizontal="left" vertical="center"/>
    </xf>
    <xf numFmtId="0" fontId="31" fillId="33" borderId="4" xfId="0" applyFont="1" applyFill="1" applyBorder="1"/>
    <xf numFmtId="0" fontId="5" fillId="33" borderId="1" xfId="0" applyFont="1" applyFill="1" applyBorder="1" applyAlignment="1"/>
    <xf numFmtId="4" fontId="5" fillId="33" borderId="1" xfId="0" applyNumberFormat="1" applyFont="1" applyFill="1" applyBorder="1" applyAlignment="1"/>
    <xf numFmtId="4" fontId="6" fillId="33" borderId="1" xfId="0" applyNumberFormat="1" applyFont="1" applyFill="1" applyBorder="1" applyAlignment="1"/>
    <xf numFmtId="0" fontId="5" fillId="33" borderId="1" xfId="0" applyFont="1" applyFill="1" applyBorder="1" applyAlignment="1">
      <alignment horizontal="left" wrapText="1"/>
    </xf>
    <xf numFmtId="0" fontId="5" fillId="33" borderId="0" xfId="0" applyFont="1" applyFill="1" applyBorder="1" applyAlignment="1">
      <alignment horizontal="right"/>
    </xf>
    <xf numFmtId="0" fontId="36" fillId="33" borderId="1" xfId="0" applyFont="1" applyFill="1" applyBorder="1" applyAlignment="1">
      <alignment wrapText="1"/>
    </xf>
    <xf numFmtId="0" fontId="5" fillId="33" borderId="5" xfId="0" applyFont="1" applyFill="1" applyBorder="1" applyAlignment="1">
      <alignment horizontal="left" wrapText="1"/>
    </xf>
    <xf numFmtId="0" fontId="5" fillId="33" borderId="4" xfId="0" applyFont="1" applyFill="1" applyBorder="1" applyAlignment="1">
      <alignment horizontal="left" vertical="center" wrapText="1"/>
    </xf>
    <xf numFmtId="0" fontId="36" fillId="33" borderId="5" xfId="0" applyFont="1" applyFill="1" applyBorder="1" applyAlignment="1">
      <alignment wrapText="1"/>
    </xf>
    <xf numFmtId="0" fontId="6" fillId="33" borderId="1" xfId="0" applyFont="1" applyFill="1" applyBorder="1" applyAlignment="1">
      <alignment vertical="center" wrapText="1"/>
    </xf>
    <xf numFmtId="4" fontId="5" fillId="33" borderId="1" xfId="0" applyNumberFormat="1" applyFont="1" applyFill="1" applyBorder="1" applyAlignment="1">
      <alignment horizontal="right" vertical="center"/>
    </xf>
    <xf numFmtId="0" fontId="33" fillId="33" borderId="21" xfId="0" applyFont="1" applyFill="1" applyBorder="1" applyAlignment="1">
      <alignment horizontal="center" vertical="center"/>
    </xf>
    <xf numFmtId="0" fontId="5" fillId="33" borderId="1" xfId="0" applyFont="1" applyFill="1" applyBorder="1" applyAlignment="1">
      <alignment horizontal="center" vertical="center"/>
    </xf>
    <xf numFmtId="2" fontId="31" fillId="33" borderId="1" xfId="0" applyNumberFormat="1" applyFont="1" applyFill="1" applyBorder="1" applyAlignment="1">
      <alignment horizontal="right"/>
    </xf>
    <xf numFmtId="0" fontId="6" fillId="33" borderId="1" xfId="0" applyFont="1" applyFill="1" applyBorder="1" applyAlignment="1">
      <alignment wrapText="1"/>
    </xf>
    <xf numFmtId="0" fontId="6" fillId="33" borderId="1" xfId="0" applyFont="1" applyFill="1" applyBorder="1" applyAlignment="1"/>
    <xf numFmtId="0" fontId="5" fillId="33" borderId="1" xfId="76" applyFont="1" applyFill="1" applyBorder="1" applyAlignment="1">
      <alignment horizontal="center" vertical="center"/>
    </xf>
    <xf numFmtId="2" fontId="5" fillId="33" borderId="1" xfId="0" applyNumberFormat="1" applyFont="1" applyFill="1" applyBorder="1" applyAlignment="1">
      <alignment horizontal="center" vertical="center"/>
    </xf>
    <xf numFmtId="0" fontId="5" fillId="33" borderId="1" xfId="76" applyFont="1" applyFill="1" applyBorder="1" applyAlignment="1">
      <alignment horizontal="center"/>
    </xf>
    <xf numFmtId="0" fontId="5" fillId="33" borderId="4" xfId="76" applyFont="1" applyFill="1" applyBorder="1" applyAlignment="1">
      <alignment horizontal="center"/>
    </xf>
    <xf numFmtId="44" fontId="31" fillId="33" borderId="1" xfId="0" applyNumberFormat="1" applyFont="1" applyFill="1" applyBorder="1" applyAlignment="1">
      <alignment horizontal="right" vertical="center" wrapText="1"/>
    </xf>
    <xf numFmtId="0" fontId="6" fillId="33" borderId="5" xfId="37" applyFont="1" applyFill="1" applyBorder="1" applyAlignment="1">
      <alignment wrapText="1"/>
    </xf>
    <xf numFmtId="0" fontId="6" fillId="33" borderId="1" xfId="37" applyFont="1" applyFill="1" applyBorder="1" applyAlignment="1"/>
    <xf numFmtId="0" fontId="6" fillId="33" borderId="5" xfId="0" applyFont="1" applyFill="1" applyBorder="1" applyAlignment="1">
      <alignment horizontal="left"/>
    </xf>
    <xf numFmtId="0" fontId="6" fillId="33" borderId="5" xfId="0" applyFont="1" applyFill="1" applyBorder="1" applyAlignment="1">
      <alignment horizontal="left" wrapText="1"/>
    </xf>
    <xf numFmtId="4" fontId="6" fillId="33" borderId="1" xfId="0" applyNumberFormat="1" applyFont="1" applyFill="1" applyBorder="1" applyAlignment="1">
      <alignment horizontal="center"/>
    </xf>
    <xf numFmtId="4" fontId="5" fillId="33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34" borderId="1" xfId="0" applyFont="1" applyFill="1" applyBorder="1" applyAlignment="1">
      <alignment wrapText="1"/>
    </xf>
    <xf numFmtId="4" fontId="5" fillId="34" borderId="1" xfId="0" applyNumberFormat="1" applyFont="1" applyFill="1" applyBorder="1" applyAlignment="1">
      <alignment horizontal="center"/>
    </xf>
    <xf numFmtId="4" fontId="5" fillId="34" borderId="1" xfId="0" applyNumberFormat="1" applyFont="1" applyFill="1" applyBorder="1" applyAlignment="1">
      <alignment horizontal="right"/>
    </xf>
    <xf numFmtId="4" fontId="5" fillId="34" borderId="21" xfId="0" applyNumberFormat="1" applyFont="1" applyFill="1" applyBorder="1" applyAlignment="1">
      <alignment horizontal="right"/>
    </xf>
    <xf numFmtId="0" fontId="5" fillId="34" borderId="1" xfId="0" applyFont="1" applyFill="1" applyBorder="1" applyAlignment="1">
      <alignment horizontal="left" wrapText="1"/>
    </xf>
    <xf numFmtId="0" fontId="5" fillId="34" borderId="1" xfId="0" applyFont="1" applyFill="1" applyBorder="1" applyAlignment="1">
      <alignment vertical="center" wrapText="1"/>
    </xf>
    <xf numFmtId="0" fontId="5" fillId="34" borderId="1" xfId="0" applyFont="1" applyFill="1" applyBorder="1" applyAlignment="1">
      <alignment horizontal="center"/>
    </xf>
    <xf numFmtId="0" fontId="5" fillId="34" borderId="1" xfId="37" applyFont="1" applyFill="1" applyBorder="1" applyAlignment="1">
      <alignment vertical="center" wrapText="1"/>
    </xf>
    <xf numFmtId="0" fontId="5" fillId="34" borderId="1" xfId="37" applyFont="1" applyFill="1" applyBorder="1" applyAlignment="1">
      <alignment horizontal="left" vertical="center" wrapText="1"/>
    </xf>
    <xf numFmtId="2" fontId="5" fillId="34" borderId="1" xfId="0" applyNumberFormat="1" applyFont="1" applyFill="1" applyBorder="1" applyAlignment="1">
      <alignment horizontal="right"/>
    </xf>
    <xf numFmtId="2" fontId="31" fillId="34" borderId="1" xfId="0" applyNumberFormat="1" applyFont="1" applyFill="1" applyBorder="1"/>
    <xf numFmtId="2" fontId="5" fillId="34" borderId="1" xfId="37" applyNumberFormat="1" applyFont="1" applyFill="1" applyBorder="1" applyAlignment="1">
      <alignment horizontal="right"/>
    </xf>
    <xf numFmtId="4" fontId="5" fillId="34" borderId="7" xfId="0" applyNumberFormat="1" applyFont="1" applyFill="1" applyBorder="1" applyAlignment="1">
      <alignment horizontal="right"/>
    </xf>
    <xf numFmtId="0" fontId="31" fillId="34" borderId="0" xfId="0" applyFont="1" applyFill="1"/>
    <xf numFmtId="0" fontId="5" fillId="33" borderId="1" xfId="37" applyFont="1" applyFill="1" applyBorder="1" applyAlignment="1">
      <alignment horizontal="center" vertical="center" wrapText="1"/>
    </xf>
    <xf numFmtId="2" fontId="5" fillId="33" borderId="1" xfId="37" applyNumberFormat="1" applyFont="1" applyFill="1" applyBorder="1" applyAlignment="1">
      <alignment horizontal="right" vertical="center" wrapText="1"/>
    </xf>
    <xf numFmtId="0" fontId="5" fillId="33" borderId="1" xfId="37" applyFont="1" applyFill="1" applyBorder="1" applyAlignment="1">
      <alignment horizontal="center" vertical="center"/>
    </xf>
    <xf numFmtId="2" fontId="5" fillId="33" borderId="1" xfId="37" applyNumberFormat="1" applyFont="1" applyFill="1" applyBorder="1" applyAlignment="1">
      <alignment horizontal="right" vertical="center"/>
    </xf>
    <xf numFmtId="0" fontId="5" fillId="33" borderId="1" xfId="37" applyFont="1" applyFill="1" applyBorder="1" applyAlignment="1">
      <alignment vertical="center"/>
    </xf>
    <xf numFmtId="0" fontId="5" fillId="33" borderId="4" xfId="0" applyFont="1" applyFill="1" applyBorder="1" applyAlignment="1">
      <alignment horizontal="center" vertical="center"/>
    </xf>
    <xf numFmtId="2" fontId="5" fillId="33" borderId="1" xfId="0" applyNumberFormat="1" applyFont="1" applyFill="1" applyBorder="1" applyAlignment="1">
      <alignment horizontal="right" vertical="center"/>
    </xf>
    <xf numFmtId="2" fontId="31" fillId="33" borderId="0" xfId="0" applyNumberFormat="1" applyFont="1" applyFill="1" applyAlignment="1">
      <alignment vertical="center"/>
    </xf>
    <xf numFmtId="2" fontId="31" fillId="33" borderId="4" xfId="0" applyNumberFormat="1" applyFont="1" applyFill="1" applyBorder="1" applyAlignment="1">
      <alignment vertical="center"/>
    </xf>
    <xf numFmtId="2" fontId="31" fillId="33" borderId="1" xfId="0" applyNumberFormat="1" applyFont="1" applyFill="1" applyBorder="1" applyAlignment="1">
      <alignment vertical="center"/>
    </xf>
    <xf numFmtId="2" fontId="31" fillId="33" borderId="1" xfId="0" applyNumberFormat="1" applyFont="1" applyFill="1" applyBorder="1" applyAlignment="1">
      <alignment horizontal="right" vertical="center"/>
    </xf>
    <xf numFmtId="0" fontId="31" fillId="33" borderId="1" xfId="0" applyFont="1" applyFill="1" applyBorder="1" applyAlignment="1">
      <alignment vertical="center" wrapText="1"/>
    </xf>
    <xf numFmtId="4" fontId="31" fillId="34" borderId="1" xfId="0" applyNumberFormat="1" applyFont="1" applyFill="1" applyBorder="1" applyAlignment="1">
      <alignment vertical="center"/>
    </xf>
    <xf numFmtId="4" fontId="5" fillId="34" borderId="1" xfId="0" applyNumberFormat="1" applyFont="1" applyFill="1" applyBorder="1" applyAlignment="1">
      <alignment horizontal="center" vertical="center"/>
    </xf>
    <xf numFmtId="4" fontId="5" fillId="34" borderId="1" xfId="0" applyNumberFormat="1" applyFont="1" applyFill="1" applyBorder="1" applyAlignment="1">
      <alignment horizontal="right" vertical="center"/>
    </xf>
    <xf numFmtId="4" fontId="5" fillId="34" borderId="1" xfId="0" applyNumberFormat="1" applyFont="1" applyFill="1" applyBorder="1" applyAlignment="1">
      <alignment vertical="center"/>
    </xf>
    <xf numFmtId="0" fontId="31" fillId="34" borderId="1" xfId="0" applyFont="1" applyFill="1" applyBorder="1" applyAlignment="1">
      <alignment vertical="center" wrapText="1"/>
    </xf>
    <xf numFmtId="0" fontId="31" fillId="33" borderId="1" xfId="0" applyFont="1" applyFill="1" applyBorder="1" applyAlignment="1">
      <alignment vertical="center"/>
    </xf>
    <xf numFmtId="0" fontId="31" fillId="33" borderId="0" xfId="0" applyFont="1" applyFill="1" applyAlignment="1">
      <alignment vertical="center" wrapText="1"/>
    </xf>
    <xf numFmtId="0" fontId="31" fillId="33" borderId="0" xfId="0" applyFont="1" applyFill="1" applyAlignment="1">
      <alignment vertical="center"/>
    </xf>
    <xf numFmtId="0" fontId="6" fillId="0" borderId="1" xfId="0" applyFont="1" applyFill="1" applyBorder="1" applyAlignment="1">
      <alignment horizontal="right" vertical="center" indent="1"/>
    </xf>
    <xf numFmtId="0" fontId="5" fillId="33" borderId="1" xfId="0" applyFont="1" applyFill="1" applyBorder="1" applyAlignment="1">
      <alignment horizontal="right" vertical="center" indent="1"/>
    </xf>
    <xf numFmtId="0" fontId="6" fillId="33" borderId="1" xfId="0" applyFont="1" applyFill="1" applyBorder="1" applyAlignment="1">
      <alignment horizontal="right" vertical="center" indent="1"/>
    </xf>
    <xf numFmtId="0" fontId="5" fillId="34" borderId="1" xfId="0" applyFont="1" applyFill="1" applyBorder="1" applyAlignment="1">
      <alignment horizontal="right" vertical="center" indent="1"/>
    </xf>
    <xf numFmtId="0" fontId="6" fillId="33" borderId="1" xfId="37" applyFont="1" applyFill="1" applyBorder="1" applyAlignment="1">
      <alignment horizontal="right" vertical="center" indent="1"/>
    </xf>
    <xf numFmtId="0" fontId="5" fillId="33" borderId="1" xfId="37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 indent="1"/>
    </xf>
    <xf numFmtId="0" fontId="6" fillId="35" borderId="1" xfId="0" applyFont="1" applyFill="1" applyBorder="1" applyAlignment="1">
      <alignment horizontal="center" vertical="center"/>
    </xf>
    <xf numFmtId="0" fontId="6" fillId="35" borderId="1" xfId="0" applyFont="1" applyFill="1" applyBorder="1" applyAlignment="1">
      <alignment horizontal="center" vertical="center" wrapText="1"/>
    </xf>
    <xf numFmtId="0" fontId="6" fillId="35" borderId="4" xfId="0" applyFont="1" applyFill="1" applyBorder="1" applyAlignment="1">
      <alignment horizontal="center" vertical="center"/>
    </xf>
    <xf numFmtId="0" fontId="6" fillId="35" borderId="4" xfId="0" applyFont="1" applyFill="1" applyBorder="1" applyAlignment="1">
      <alignment horizontal="center" vertical="center" wrapText="1"/>
    </xf>
    <xf numFmtId="0" fontId="6" fillId="35" borderId="4" xfId="0" applyFont="1" applyFill="1" applyBorder="1" applyAlignment="1">
      <alignment horizontal="right" vertical="center" wrapText="1"/>
    </xf>
    <xf numFmtId="0" fontId="5" fillId="33" borderId="0" xfId="0" applyFont="1" applyFill="1" applyBorder="1" applyAlignment="1">
      <alignment horizontal="right" vertical="center" indent="1"/>
    </xf>
    <xf numFmtId="0" fontId="6" fillId="33" borderId="0" xfId="0" applyFont="1" applyFill="1" applyBorder="1" applyAlignment="1">
      <alignment horizontal="right" vertical="center" indent="1"/>
    </xf>
    <xf numFmtId="0" fontId="6" fillId="33" borderId="9" xfId="0" applyFont="1" applyFill="1" applyBorder="1" applyAlignment="1">
      <alignment horizontal="right" vertical="center" indent="1"/>
    </xf>
    <xf numFmtId="0" fontId="5" fillId="33" borderId="20" xfId="0" applyFont="1" applyFill="1" applyBorder="1" applyAlignment="1">
      <alignment horizontal="right" vertical="center" indent="1"/>
    </xf>
    <xf numFmtId="0" fontId="5" fillId="34" borderId="1" xfId="0" applyFont="1" applyFill="1" applyBorder="1" applyAlignment="1">
      <alignment horizontal="center" vertical="center"/>
    </xf>
    <xf numFmtId="2" fontId="5" fillId="34" borderId="1" xfId="0" applyNumberFormat="1" applyFont="1" applyFill="1" applyBorder="1" applyAlignment="1">
      <alignment vertical="center"/>
    </xf>
    <xf numFmtId="0" fontId="5" fillId="34" borderId="4" xfId="0" applyFont="1" applyFill="1" applyBorder="1" applyAlignment="1">
      <alignment horizontal="left" vertical="center" wrapText="1"/>
    </xf>
    <xf numFmtId="0" fontId="5" fillId="3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0" fontId="31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/>
    </xf>
    <xf numFmtId="0" fontId="31" fillId="0" borderId="1" xfId="0" applyFont="1" applyFill="1" applyBorder="1"/>
    <xf numFmtId="2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2" fillId="0" borderId="1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/>
    </xf>
    <xf numFmtId="2" fontId="3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31" fillId="0" borderId="4" xfId="0" applyFont="1" applyFill="1" applyBorder="1"/>
    <xf numFmtId="2" fontId="31" fillId="0" borderId="1" xfId="0" applyNumberFormat="1" applyFont="1" applyFill="1" applyBorder="1" applyAlignment="1">
      <alignment vertical="center"/>
    </xf>
    <xf numFmtId="2" fontId="31" fillId="0" borderId="4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2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/>
    <xf numFmtId="4" fontId="5" fillId="0" borderId="1" xfId="0" applyNumberFormat="1" applyFont="1" applyFill="1" applyBorder="1" applyAlignment="1"/>
    <xf numFmtId="0" fontId="5" fillId="0" borderId="1" xfId="0" applyFont="1" applyFill="1" applyBorder="1" applyAlignment="1">
      <alignment horizontal="left" wrapText="1"/>
    </xf>
    <xf numFmtId="4" fontId="31" fillId="0" borderId="1" xfId="0" applyNumberFormat="1" applyFont="1" applyFill="1" applyBorder="1" applyAlignment="1">
      <alignment vertical="center"/>
    </xf>
    <xf numFmtId="0" fontId="36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2" fontId="31" fillId="0" borderId="1" xfId="0" applyNumberFormat="1" applyFont="1" applyFill="1" applyBorder="1"/>
    <xf numFmtId="0" fontId="5" fillId="0" borderId="4" xfId="0" applyFont="1" applyFill="1" applyBorder="1" applyAlignment="1">
      <alignment horizontal="left" vertical="center" wrapText="1"/>
    </xf>
    <xf numFmtId="4" fontId="5" fillId="0" borderId="2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vertical="center" wrapText="1"/>
    </xf>
    <xf numFmtId="0" fontId="33" fillId="0" borderId="21" xfId="0" applyFont="1" applyFill="1" applyBorder="1" applyAlignment="1">
      <alignment horizontal="center" vertical="center"/>
    </xf>
    <xf numFmtId="2" fontId="31" fillId="0" borderId="1" xfId="0" applyNumberFormat="1" applyFont="1" applyFill="1" applyBorder="1" applyAlignment="1">
      <alignment horizontal="right"/>
    </xf>
    <xf numFmtId="2" fontId="31" fillId="0" borderId="1" xfId="0" applyNumberFormat="1" applyFont="1" applyFill="1" applyBorder="1" applyAlignment="1">
      <alignment horizontal="right" vertical="center"/>
    </xf>
    <xf numFmtId="0" fontId="5" fillId="0" borderId="1" xfId="76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76" applyFont="1" applyFill="1" applyBorder="1" applyAlignment="1">
      <alignment horizontal="center"/>
    </xf>
    <xf numFmtId="0" fontId="5" fillId="0" borderId="4" xfId="76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37" applyFont="1" applyFill="1" applyBorder="1" applyAlignment="1">
      <alignment horizontal="left" vertical="center" wrapText="1"/>
    </xf>
    <xf numFmtId="44" fontId="31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5" fillId="0" borderId="1" xfId="37" applyFont="1" applyFill="1" applyBorder="1" applyAlignment="1">
      <alignment vertical="center" wrapText="1"/>
    </xf>
    <xf numFmtId="0" fontId="6" fillId="0" borderId="5" xfId="37" applyFont="1" applyFill="1" applyBorder="1" applyAlignment="1">
      <alignment wrapText="1"/>
    </xf>
    <xf numFmtId="0" fontId="6" fillId="0" borderId="1" xfId="37" applyFont="1" applyFill="1" applyBorder="1" applyAlignment="1"/>
    <xf numFmtId="0" fontId="5" fillId="0" borderId="1" xfId="37" applyFont="1" applyFill="1" applyBorder="1" applyAlignment="1">
      <alignment horizontal="center" vertical="center" wrapText="1"/>
    </xf>
    <xf numFmtId="2" fontId="5" fillId="0" borderId="1" xfId="37" applyNumberFormat="1" applyFont="1" applyFill="1" applyBorder="1" applyAlignment="1">
      <alignment horizontal="right" vertical="center" wrapText="1"/>
    </xf>
    <xf numFmtId="0" fontId="5" fillId="0" borderId="1" xfId="37" applyFont="1" applyFill="1" applyBorder="1" applyAlignment="1">
      <alignment horizontal="left" vertical="justify" wrapText="1"/>
    </xf>
    <xf numFmtId="0" fontId="5" fillId="0" borderId="1" xfId="37" applyFont="1" applyFill="1" applyBorder="1" applyAlignment="1">
      <alignment horizontal="center"/>
    </xf>
    <xf numFmtId="2" fontId="5" fillId="0" borderId="1" xfId="37" applyNumberFormat="1" applyFont="1" applyFill="1" applyBorder="1" applyAlignment="1">
      <alignment horizontal="right"/>
    </xf>
    <xf numFmtId="0" fontId="5" fillId="0" borderId="1" xfId="37" applyFont="1" applyFill="1" applyBorder="1" applyAlignment="1"/>
    <xf numFmtId="0" fontId="9" fillId="0" borderId="1" xfId="0" applyFont="1" applyFill="1" applyBorder="1" applyAlignment="1">
      <alignment horizontal="center" vertical="top" wrapText="1"/>
    </xf>
    <xf numFmtId="2" fontId="5" fillId="0" borderId="1" xfId="37" applyNumberFormat="1" applyFont="1" applyFill="1" applyBorder="1" applyAlignment="1">
      <alignment horizontal="center"/>
    </xf>
    <xf numFmtId="0" fontId="5" fillId="0" borderId="1" xfId="37" applyFont="1" applyFill="1" applyBorder="1" applyAlignment="1">
      <alignment horizontal="center" vertical="center"/>
    </xf>
    <xf numFmtId="2" fontId="5" fillId="0" borderId="1" xfId="37" applyNumberFormat="1" applyFont="1" applyFill="1" applyBorder="1" applyAlignment="1">
      <alignment horizontal="right" vertical="center"/>
    </xf>
    <xf numFmtId="0" fontId="5" fillId="0" borderId="1" xfId="37" applyFont="1" applyFill="1" applyBorder="1" applyAlignment="1">
      <alignment vertical="center"/>
    </xf>
    <xf numFmtId="0" fontId="5" fillId="0" borderId="1" xfId="37" applyFont="1" applyFill="1" applyBorder="1" applyAlignment="1">
      <alignment horizontal="center" vertical="justify" wrapText="1"/>
    </xf>
    <xf numFmtId="0" fontId="6" fillId="0" borderId="5" xfId="37" applyFont="1" applyFill="1" applyBorder="1" applyAlignment="1">
      <alignment vertical="justify" wrapText="1"/>
    </xf>
    <xf numFmtId="0" fontId="6" fillId="0" borderId="1" xfId="37" applyFont="1" applyFill="1" applyBorder="1" applyAlignment="1">
      <alignment wrapText="1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25" xfId="0" applyFont="1" applyFill="1" applyBorder="1"/>
    <xf numFmtId="0" fontId="5" fillId="0" borderId="26" xfId="0" applyFont="1" applyFill="1" applyBorder="1" applyAlignment="1">
      <alignment horizontal="right"/>
    </xf>
    <xf numFmtId="0" fontId="6" fillId="35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 indent="1"/>
    </xf>
    <xf numFmtId="0" fontId="31" fillId="33" borderId="0" xfId="0" applyFont="1" applyFill="1" applyBorder="1" applyAlignment="1">
      <alignment vertical="center" wrapText="1"/>
    </xf>
    <xf numFmtId="0" fontId="31" fillId="33" borderId="0" xfId="0" applyFont="1" applyFill="1" applyBorder="1" applyAlignment="1">
      <alignment vertical="center"/>
    </xf>
    <xf numFmtId="0" fontId="31" fillId="33" borderId="0" xfId="0" applyFont="1" applyFill="1" applyBorder="1"/>
    <xf numFmtId="0" fontId="5" fillId="0" borderId="27" xfId="0" applyFont="1" applyFill="1" applyBorder="1" applyAlignment="1">
      <alignment horizontal="right" vertical="center" indent="1"/>
    </xf>
    <xf numFmtId="0" fontId="31" fillId="0" borderId="0" xfId="0" applyFont="1" applyFill="1" applyBorder="1"/>
    <xf numFmtId="0" fontId="6" fillId="0" borderId="31" xfId="0" applyFont="1" applyFill="1" applyBorder="1" applyAlignment="1">
      <alignment horizontal="right" vertical="center" indent="1"/>
    </xf>
    <xf numFmtId="0" fontId="5" fillId="0" borderId="25" xfId="0" applyFont="1" applyFill="1" applyBorder="1" applyAlignment="1">
      <alignment horizontal="right" vertical="center" indent="1"/>
    </xf>
    <xf numFmtId="0" fontId="6" fillId="0" borderId="25" xfId="0" applyFont="1" applyFill="1" applyBorder="1" applyAlignment="1">
      <alignment horizontal="right" vertical="center" indent="1"/>
    </xf>
    <xf numFmtId="2" fontId="31" fillId="0" borderId="0" xfId="0" applyNumberFormat="1" applyFont="1" applyFill="1" applyBorder="1" applyAlignment="1">
      <alignment vertical="center"/>
    </xf>
    <xf numFmtId="0" fontId="6" fillId="0" borderId="27" xfId="37" applyFont="1" applyFill="1" applyBorder="1" applyAlignment="1">
      <alignment horizontal="right" vertical="center" indent="1"/>
    </xf>
    <xf numFmtId="0" fontId="5" fillId="0" borderId="27" xfId="37" applyFont="1" applyFill="1" applyBorder="1" applyAlignment="1">
      <alignment horizontal="right" vertical="center" indent="1"/>
    </xf>
    <xf numFmtId="0" fontId="5" fillId="0" borderId="32" xfId="0" applyFont="1" applyFill="1" applyBorder="1" applyAlignment="1">
      <alignment horizontal="right" vertical="center" indent="1"/>
    </xf>
    <xf numFmtId="0" fontId="6" fillId="0" borderId="33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/>
    </xf>
    <xf numFmtId="0" fontId="5" fillId="0" borderId="26" xfId="0" applyFont="1" applyFill="1" applyBorder="1" applyAlignment="1">
      <alignment horizontal="right" vertical="center" indent="1"/>
    </xf>
    <xf numFmtId="10" fontId="5" fillId="0" borderId="26" xfId="0" applyNumberFormat="1" applyFont="1" applyFill="1" applyBorder="1" applyAlignment="1">
      <alignment horizontal="right" vertical="center" indent="1"/>
    </xf>
    <xf numFmtId="17" fontId="5" fillId="0" borderId="26" xfId="0" applyNumberFormat="1" applyFont="1" applyFill="1" applyBorder="1" applyAlignment="1">
      <alignment horizontal="right" vertical="center" indent="1"/>
    </xf>
    <xf numFmtId="0" fontId="6" fillId="35" borderId="28" xfId="0" applyFont="1" applyFill="1" applyBorder="1" applyAlignment="1">
      <alignment horizontal="right" vertical="center" wrapText="1" indent="1"/>
    </xf>
    <xf numFmtId="0" fontId="6" fillId="0" borderId="29" xfId="0" applyFont="1" applyFill="1" applyBorder="1" applyAlignment="1">
      <alignment horizontal="right" vertical="center" indent="1"/>
    </xf>
    <xf numFmtId="4" fontId="5" fillId="33" borderId="30" xfId="0" applyNumberFormat="1" applyFont="1" applyFill="1" applyBorder="1" applyAlignment="1">
      <alignment horizontal="right" vertical="center" indent="1"/>
    </xf>
    <xf numFmtId="4" fontId="5" fillId="0" borderId="30" xfId="0" applyNumberFormat="1" applyFont="1" applyFill="1" applyBorder="1" applyAlignment="1">
      <alignment horizontal="right" vertical="center" indent="1"/>
    </xf>
    <xf numFmtId="4" fontId="6" fillId="0" borderId="30" xfId="0" applyNumberFormat="1" applyFont="1" applyFill="1" applyBorder="1" applyAlignment="1">
      <alignment horizontal="right" vertical="center" indent="1"/>
    </xf>
    <xf numFmtId="0" fontId="6" fillId="0" borderId="30" xfId="0" applyFont="1" applyFill="1" applyBorder="1" applyAlignment="1">
      <alignment horizontal="right" vertical="center" indent="1"/>
    </xf>
    <xf numFmtId="0" fontId="5" fillId="0" borderId="30" xfId="0" applyFont="1" applyFill="1" applyBorder="1" applyAlignment="1">
      <alignment horizontal="right" vertical="center" indent="1"/>
    </xf>
    <xf numFmtId="0" fontId="6" fillId="0" borderId="30" xfId="37" applyFont="1" applyFill="1" applyBorder="1" applyAlignment="1">
      <alignment horizontal="right" vertical="center" indent="1"/>
    </xf>
    <xf numFmtId="0" fontId="5" fillId="0" borderId="30" xfId="37" applyFont="1" applyFill="1" applyBorder="1" applyAlignment="1">
      <alignment horizontal="right" vertical="center" indent="1"/>
    </xf>
    <xf numFmtId="4" fontId="5" fillId="0" borderId="29" xfId="0" applyNumberFormat="1" applyFont="1" applyFill="1" applyBorder="1" applyAlignment="1">
      <alignment horizontal="right" vertical="center" indent="1"/>
    </xf>
    <xf numFmtId="4" fontId="6" fillId="0" borderId="29" xfId="0" applyNumberFormat="1" applyFont="1" applyFill="1" applyBorder="1" applyAlignment="1">
      <alignment horizontal="right" vertical="center" indent="1"/>
    </xf>
    <xf numFmtId="4" fontId="5" fillId="0" borderId="36" xfId="0" applyNumberFormat="1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center"/>
    </xf>
    <xf numFmtId="4" fontId="6" fillId="0" borderId="5" xfId="0" applyNumberFormat="1" applyFont="1" applyFill="1" applyBorder="1" applyAlignment="1"/>
    <xf numFmtId="4" fontId="6" fillId="0" borderId="6" xfId="0" applyNumberFormat="1" applyFont="1" applyFill="1" applyBorder="1" applyAlignment="1"/>
    <xf numFmtId="4" fontId="6" fillId="0" borderId="7" xfId="0" applyNumberFormat="1" applyFont="1" applyFill="1" applyBorder="1" applyAlignment="1"/>
    <xf numFmtId="0" fontId="3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center"/>
    </xf>
    <xf numFmtId="0" fontId="34" fillId="0" borderId="26" xfId="0" applyFont="1" applyFill="1" applyBorder="1" applyAlignment="1">
      <alignment horizontal="center"/>
    </xf>
    <xf numFmtId="0" fontId="0" fillId="0" borderId="29" xfId="0" applyFill="1" applyBorder="1" applyAlignment="1">
      <alignment horizontal="left" vertical="center" wrapText="1"/>
    </xf>
    <xf numFmtId="0" fontId="5" fillId="0" borderId="23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34" borderId="6" xfId="0" applyFont="1" applyFill="1" applyBorder="1" applyAlignment="1">
      <alignment horizontal="left"/>
    </xf>
    <xf numFmtId="0" fontId="6" fillId="34" borderId="7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33" borderId="1" xfId="0" applyFont="1" applyFill="1" applyBorder="1" applyAlignment="1">
      <alignment horizontal="center"/>
    </xf>
    <xf numFmtId="4" fontId="6" fillId="33" borderId="5" xfId="0" applyNumberFormat="1" applyFont="1" applyFill="1" applyBorder="1" applyAlignment="1">
      <alignment horizontal="center"/>
    </xf>
    <xf numFmtId="4" fontId="6" fillId="33" borderId="6" xfId="0" applyNumberFormat="1" applyFont="1" applyFill="1" applyBorder="1" applyAlignment="1">
      <alignment horizontal="center"/>
    </xf>
    <xf numFmtId="4" fontId="6" fillId="33" borderId="7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left"/>
    </xf>
    <xf numFmtId="0" fontId="35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6" fillId="0" borderId="34" xfId="0" applyFont="1" applyFill="1" applyBorder="1" applyAlignment="1">
      <alignment horizontal="right" vertical="center" indent="1"/>
    </xf>
    <xf numFmtId="0" fontId="0" fillId="0" borderId="34" xfId="0" applyBorder="1" applyAlignment="1">
      <alignment horizontal="right" vertical="center" indent="1"/>
    </xf>
    <xf numFmtId="0" fontId="0" fillId="0" borderId="35" xfId="0" applyBorder="1" applyAlignment="1">
      <alignment horizontal="right" vertical="center" indent="1"/>
    </xf>
    <xf numFmtId="0" fontId="6" fillId="0" borderId="6" xfId="0" applyFont="1" applyFill="1" applyBorder="1" applyAlignment="1">
      <alignment horizontal="right" vertical="center" indent="3"/>
    </xf>
    <xf numFmtId="0" fontId="0" fillId="0" borderId="6" xfId="0" applyBorder="1" applyAlignment="1">
      <alignment horizontal="right" vertical="center" indent="3"/>
    </xf>
    <xf numFmtId="0" fontId="0" fillId="0" borderId="7" xfId="0" applyBorder="1" applyAlignment="1">
      <alignment horizontal="right" vertical="center" indent="3"/>
    </xf>
    <xf numFmtId="0" fontId="6" fillId="0" borderId="6" xfId="0" applyFont="1" applyFill="1" applyBorder="1" applyAlignment="1">
      <alignment horizontal="right" vertical="center" indent="1"/>
    </xf>
    <xf numFmtId="0" fontId="0" fillId="0" borderId="6" xfId="0" applyBorder="1" applyAlignment="1">
      <alignment horizontal="right" vertical="center" indent="1"/>
    </xf>
    <xf numFmtId="0" fontId="0" fillId="0" borderId="7" xfId="0" applyBorder="1" applyAlignment="1">
      <alignment horizontal="right" vertical="center" indent="1"/>
    </xf>
    <xf numFmtId="49" fontId="37" fillId="0" borderId="5" xfId="0" applyNumberFormat="1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35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left"/>
    </xf>
  </cellXfs>
  <cellStyles count="158">
    <cellStyle name="0,0_x000d__x000a_NA_x000d__x000a_" xfId="1"/>
    <cellStyle name="20% - Ênfase1 2" xfId="2"/>
    <cellStyle name="20% - Ênfase1 2 2" xfId="62"/>
    <cellStyle name="20% - Ênfase1 2 2 2" xfId="90"/>
    <cellStyle name="20% - Ênfase1 2 2 2 2" xfId="144"/>
    <cellStyle name="20% - Ênfase1 2 2 3" xfId="117"/>
    <cellStyle name="20% - Ênfase1 2 3" xfId="77"/>
    <cellStyle name="20% - Ênfase1 2 3 2" xfId="131"/>
    <cellStyle name="20% - Ênfase1 2 4" xfId="104"/>
    <cellStyle name="20% - Ênfase2 2" xfId="3"/>
    <cellStyle name="20% - Ênfase2 2 2" xfId="63"/>
    <cellStyle name="20% - Ênfase2 2 2 2" xfId="91"/>
    <cellStyle name="20% - Ênfase2 2 2 2 2" xfId="145"/>
    <cellStyle name="20% - Ênfase2 2 2 3" xfId="118"/>
    <cellStyle name="20% - Ênfase2 2 3" xfId="78"/>
    <cellStyle name="20% - Ênfase2 2 3 2" xfId="132"/>
    <cellStyle name="20% - Ênfase2 2 4" xfId="105"/>
    <cellStyle name="20% - Ênfase3 2" xfId="4"/>
    <cellStyle name="20% - Ênfase3 2 2" xfId="64"/>
    <cellStyle name="20% - Ênfase3 2 2 2" xfId="92"/>
    <cellStyle name="20% - Ênfase3 2 2 2 2" xfId="146"/>
    <cellStyle name="20% - Ênfase3 2 2 3" xfId="119"/>
    <cellStyle name="20% - Ênfase3 2 3" xfId="79"/>
    <cellStyle name="20% - Ênfase3 2 3 2" xfId="133"/>
    <cellStyle name="20% - Ênfase3 2 4" xfId="106"/>
    <cellStyle name="20% - Ênfase4 2" xfId="5"/>
    <cellStyle name="20% - Ênfase4 2 2" xfId="65"/>
    <cellStyle name="20% - Ênfase4 2 2 2" xfId="93"/>
    <cellStyle name="20% - Ênfase4 2 2 2 2" xfId="147"/>
    <cellStyle name="20% - Ênfase4 2 2 3" xfId="120"/>
    <cellStyle name="20% - Ênfase4 2 3" xfId="80"/>
    <cellStyle name="20% - Ênfase4 2 3 2" xfId="134"/>
    <cellStyle name="20% - Ênfase4 2 4" xfId="107"/>
    <cellStyle name="20% - Ênfase5 2" xfId="6"/>
    <cellStyle name="20% - Ênfase5 2 2" xfId="66"/>
    <cellStyle name="20% - Ênfase5 2 2 2" xfId="94"/>
    <cellStyle name="20% - Ênfase5 2 2 2 2" xfId="148"/>
    <cellStyle name="20% - Ênfase5 2 2 3" xfId="121"/>
    <cellStyle name="20% - Ênfase5 2 3" xfId="81"/>
    <cellStyle name="20% - Ênfase5 2 3 2" xfId="135"/>
    <cellStyle name="20% - Ênfase5 2 4" xfId="108"/>
    <cellStyle name="20% - Ênfase6 2" xfId="7"/>
    <cellStyle name="20% - Ênfase6 2 2" xfId="67"/>
    <cellStyle name="20% - Ênfase6 2 2 2" xfId="95"/>
    <cellStyle name="20% - Ênfase6 2 2 2 2" xfId="149"/>
    <cellStyle name="20% - Ênfase6 2 2 3" xfId="122"/>
    <cellStyle name="20% - Ênfase6 2 3" xfId="82"/>
    <cellStyle name="20% - Ênfase6 2 3 2" xfId="136"/>
    <cellStyle name="20% - Ênfase6 2 4" xfId="109"/>
    <cellStyle name="40% - Ênfase1 2" xfId="8"/>
    <cellStyle name="40% - Ênfase1 2 2" xfId="68"/>
    <cellStyle name="40% - Ênfase1 2 2 2" xfId="96"/>
    <cellStyle name="40% - Ênfase1 2 2 2 2" xfId="150"/>
    <cellStyle name="40% - Ênfase1 2 2 3" xfId="123"/>
    <cellStyle name="40% - Ênfase1 2 3" xfId="83"/>
    <cellStyle name="40% - Ênfase1 2 3 2" xfId="137"/>
    <cellStyle name="40% - Ênfase1 2 4" xfId="110"/>
    <cellStyle name="40% - Ênfase2 2" xfId="9"/>
    <cellStyle name="40% - Ênfase2 2 2" xfId="69"/>
    <cellStyle name="40% - Ênfase2 2 2 2" xfId="97"/>
    <cellStyle name="40% - Ênfase2 2 2 2 2" xfId="151"/>
    <cellStyle name="40% - Ênfase2 2 2 3" xfId="124"/>
    <cellStyle name="40% - Ênfase2 2 3" xfId="84"/>
    <cellStyle name="40% - Ênfase2 2 3 2" xfId="138"/>
    <cellStyle name="40% - Ênfase2 2 4" xfId="111"/>
    <cellStyle name="40% - Ênfase3 2" xfId="10"/>
    <cellStyle name="40% - Ênfase3 2 2" xfId="70"/>
    <cellStyle name="40% - Ênfase3 2 2 2" xfId="98"/>
    <cellStyle name="40% - Ênfase3 2 2 2 2" xfId="152"/>
    <cellStyle name="40% - Ênfase3 2 2 3" xfId="125"/>
    <cellStyle name="40% - Ênfase3 2 3" xfId="85"/>
    <cellStyle name="40% - Ênfase3 2 3 2" xfId="139"/>
    <cellStyle name="40% - Ênfase3 2 4" xfId="112"/>
    <cellStyle name="40% - Ênfase4 2" xfId="11"/>
    <cellStyle name="40% - Ênfase4 2 2" xfId="71"/>
    <cellStyle name="40% - Ênfase4 2 2 2" xfId="99"/>
    <cellStyle name="40% - Ênfase4 2 2 2 2" xfId="153"/>
    <cellStyle name="40% - Ênfase4 2 2 3" xfId="126"/>
    <cellStyle name="40% - Ênfase4 2 3" xfId="86"/>
    <cellStyle name="40% - Ênfase4 2 3 2" xfId="140"/>
    <cellStyle name="40% - Ênfase4 2 4" xfId="113"/>
    <cellStyle name="40% - Ênfase5 2" xfId="12"/>
    <cellStyle name="40% - Ênfase5 2 2" xfId="72"/>
    <cellStyle name="40% - Ênfase5 2 2 2" xfId="100"/>
    <cellStyle name="40% - Ênfase5 2 2 2 2" xfId="154"/>
    <cellStyle name="40% - Ênfase5 2 2 3" xfId="127"/>
    <cellStyle name="40% - Ênfase5 2 3" xfId="87"/>
    <cellStyle name="40% - Ênfase5 2 3 2" xfId="141"/>
    <cellStyle name="40% - Ênfase5 2 4" xfId="114"/>
    <cellStyle name="40% - Ênfase6 2" xfId="13"/>
    <cellStyle name="40% - Ênfase6 2 2" xfId="73"/>
    <cellStyle name="40% - Ênfase6 2 2 2" xfId="101"/>
    <cellStyle name="40% - Ênfase6 2 2 2 2" xfId="155"/>
    <cellStyle name="40% - Ênfase6 2 2 3" xfId="128"/>
    <cellStyle name="40% - Ênfase6 2 3" xfId="88"/>
    <cellStyle name="40% - Ênfase6 2 3 2" xfId="142"/>
    <cellStyle name="40% - Ênfase6 2 4" xfId="115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Moeda 2" xfId="32"/>
    <cellStyle name="Neutra 2" xfId="33"/>
    <cellStyle name="Normal" xfId="0" builtinId="0"/>
    <cellStyle name="Normal 2" xfId="34"/>
    <cellStyle name="Normal 2 2" xfId="35"/>
    <cellStyle name="Normal 3" xfId="36"/>
    <cellStyle name="Normal 3 2" xfId="37"/>
    <cellStyle name="Normal 3 3" xfId="38"/>
    <cellStyle name="Normal 4" xfId="39"/>
    <cellStyle name="Normal 5" xfId="40"/>
    <cellStyle name="Normal 6" xfId="41"/>
    <cellStyle name="Normal 7" xfId="76"/>
    <cellStyle name="Normal 8" xfId="75"/>
    <cellStyle name="Normal 8 2" xfId="130"/>
    <cellStyle name="Normal 9" xfId="103"/>
    <cellStyle name="Normal 9 2" xfId="157"/>
    <cellStyle name="Nota 2" xfId="42"/>
    <cellStyle name="Nota 2 2" xfId="74"/>
    <cellStyle name="Nota 2 2 2" xfId="102"/>
    <cellStyle name="Nota 2 2 2 2" xfId="156"/>
    <cellStyle name="Nota 2 2 3" xfId="129"/>
    <cellStyle name="Nota 2 3" xfId="89"/>
    <cellStyle name="Nota 2 3 2" xfId="143"/>
    <cellStyle name="Nota 2 4" xfId="116"/>
    <cellStyle name="Porcentagem 2" xfId="43"/>
    <cellStyle name="Porcentagem 2 2" xfId="44"/>
    <cellStyle name="Porcentagem 2 3" xfId="45"/>
    <cellStyle name="Porcentagem 3" xfId="46"/>
    <cellStyle name="Porcentagem 4" xfId="47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  <cellStyle name="Vírgula 2 2" xfId="59"/>
    <cellStyle name="Vírgula 2 3" xfId="60"/>
    <cellStyle name="Vírgula 3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40822</xdr:colOff>
      <xdr:row>1</xdr:row>
      <xdr:rowOff>190500</xdr:rowOff>
    </xdr:from>
    <xdr:to>
      <xdr:col>1</xdr:col>
      <xdr:colOff>622299</xdr:colOff>
      <xdr:row>2</xdr:row>
      <xdr:rowOff>149680</xdr:rowOff>
    </xdr:to>
    <xdr:sp macro="" textlink="">
      <xdr:nvSpPr>
        <xdr:cNvPr id="2" name="CaixaDeTexto 1"/>
        <xdr:cNvSpPr txBox="1"/>
      </xdr:nvSpPr>
      <xdr:spPr>
        <a:xfrm>
          <a:off x="850447" y="447675"/>
          <a:ext cx="581477" cy="2163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/>
            <a:t>LOGOTIPO DA EPRESA</a:t>
          </a:r>
        </a:p>
      </xdr:txBody>
    </xdr:sp>
    <xdr:clientData/>
  </xdr:twoCellAnchor>
  <xdr:twoCellAnchor editAs="oneCell">
    <xdr:from>
      <xdr:col>0</xdr:col>
      <xdr:colOff>421821</xdr:colOff>
      <xdr:row>0</xdr:row>
      <xdr:rowOff>136070</xdr:rowOff>
    </xdr:from>
    <xdr:to>
      <xdr:col>1</xdr:col>
      <xdr:colOff>1333500</xdr:colOff>
      <xdr:row>4</xdr:row>
      <xdr:rowOff>94818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037" t="-1526" r="-2" b="20612"/>
        <a:stretch>
          <a:fillRect/>
        </a:stretch>
      </xdr:blipFill>
      <xdr:spPr bwMode="auto">
        <a:xfrm>
          <a:off x="421821" y="136070"/>
          <a:ext cx="1721304" cy="1054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530679</xdr:colOff>
      <xdr:row>1</xdr:row>
      <xdr:rowOff>122465</xdr:rowOff>
    </xdr:from>
    <xdr:ext cx="1646464" cy="693963"/>
    <xdr:sp macro="" textlink="">
      <xdr:nvSpPr>
        <xdr:cNvPr id="4" name="CaixaDeTexto 3"/>
        <xdr:cNvSpPr txBox="1"/>
      </xdr:nvSpPr>
      <xdr:spPr>
        <a:xfrm>
          <a:off x="530679" y="381001"/>
          <a:ext cx="1646464" cy="693963"/>
        </a:xfrm>
        <a:prstGeom prst="rect">
          <a:avLst/>
        </a:prstGeom>
        <a:noFill/>
        <a:ln w="3175" cmpd="sng"/>
        <a:effectLst>
          <a:glow rad="127000">
            <a:schemeClr val="tx1"/>
          </a:glow>
          <a:softEdge rad="1270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endParaRPr lang="pt-BR" sz="1400" b="0" baseline="0">
            <a:ln w="12700" cap="sq" cmpd="sng">
              <a:solidFill>
                <a:schemeClr val="tx1"/>
              </a:solidFill>
              <a:prstDash val="solid"/>
              <a:bevel/>
            </a:ln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  <a:txDef>
      <a:spPr>
        <a:noFill/>
        <a:ln w="3175" cmpd="sng"/>
        <a:effectLst>
          <a:glow rad="127000">
            <a:schemeClr val="tx1"/>
          </a:glow>
          <a:softEdge rad="12700"/>
        </a:effectLst>
      </a:spPr>
      <a:bodyPr vertOverflow="clip" horzOverflow="clip" wrap="square" rtlCol="0" anchor="t">
        <a:spAutoFit/>
      </a:bodyPr>
      <a:lstStyle>
        <a:defPPr algn="ctr">
          <a:defRPr sz="3600" b="1" baseline="0">
            <a:ln w="12700" cap="sq" cmpd="sng">
              <a:solidFill>
                <a:schemeClr val="tx1"/>
              </a:solidFill>
              <a:prstDash val="solid"/>
              <a:bevel/>
            </a:ln>
            <a:solidFill>
              <a:schemeClr val="bg1"/>
            </a:solidFill>
            <a:effectLst/>
            <a:latin typeface="+mn-lt"/>
            <a:ea typeface="+mn-ea"/>
            <a:cs typeface="+mn-cs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5"/>
  <sheetViews>
    <sheetView zoomScale="70" zoomScaleNormal="70" zoomScaleSheetLayoutView="70" workbookViewId="0">
      <selection activeCell="F33" sqref="F33"/>
    </sheetView>
  </sheetViews>
  <sheetFormatPr defaultRowHeight="15" x14ac:dyDescent="0.2"/>
  <cols>
    <col min="1" max="1" width="12.140625" style="24" customWidth="1"/>
    <col min="2" max="2" width="80.5703125" style="7" bestFit="1" customWidth="1"/>
    <col min="3" max="3" width="8" style="8" customWidth="1"/>
    <col min="4" max="4" width="14.7109375" style="8" customWidth="1"/>
    <col min="5" max="5" width="10.42578125" style="9" bestFit="1" customWidth="1"/>
    <col min="6" max="6" width="11.7109375" style="9" customWidth="1"/>
    <col min="7" max="7" width="12" style="9" bestFit="1" customWidth="1"/>
    <col min="8" max="8" width="15" style="9" bestFit="1" customWidth="1"/>
    <col min="9" max="9" width="11.7109375" style="9" bestFit="1" customWidth="1"/>
    <col min="10" max="10" width="14.85546875" style="9" customWidth="1"/>
    <col min="11" max="11" width="18.42578125" style="9" customWidth="1"/>
    <col min="12" max="16384" width="9.140625" style="1"/>
  </cols>
  <sheetData>
    <row r="1" spans="1:11" ht="20.25" x14ac:dyDescent="0.2">
      <c r="A1" s="276" t="s">
        <v>60</v>
      </c>
      <c r="B1" s="277"/>
      <c r="C1" s="277"/>
      <c r="D1" s="277"/>
      <c r="E1" s="277"/>
      <c r="F1" s="277"/>
      <c r="G1" s="277"/>
      <c r="H1" s="277"/>
      <c r="I1" s="277"/>
      <c r="J1" s="277"/>
      <c r="K1" s="278"/>
    </row>
    <row r="2" spans="1:11" ht="20.25" x14ac:dyDescent="0.3">
      <c r="A2" s="279" t="s">
        <v>52</v>
      </c>
      <c r="B2" s="280"/>
      <c r="C2" s="280"/>
      <c r="D2" s="280"/>
      <c r="E2" s="280"/>
      <c r="F2" s="280"/>
      <c r="G2" s="280"/>
      <c r="H2" s="280"/>
      <c r="I2" s="280"/>
      <c r="J2" s="280"/>
      <c r="K2" s="281"/>
    </row>
    <row r="3" spans="1:11" x14ac:dyDescent="0.2">
      <c r="A3" s="6"/>
      <c r="K3" s="10"/>
    </row>
    <row r="4" spans="1:11" ht="30.75" customHeight="1" x14ac:dyDescent="0.2">
      <c r="A4" s="282" t="s">
        <v>32</v>
      </c>
      <c r="B4" s="283"/>
      <c r="C4" s="283"/>
      <c r="D4" s="283"/>
      <c r="E4" s="283"/>
      <c r="F4" s="283"/>
      <c r="G4" s="283"/>
      <c r="H4" s="283"/>
      <c r="I4" s="283"/>
      <c r="J4" s="283"/>
      <c r="K4" s="284"/>
    </row>
    <row r="5" spans="1:11" x14ac:dyDescent="0.2">
      <c r="A5" s="6" t="s">
        <v>0</v>
      </c>
      <c r="C5" s="285" t="s">
        <v>54</v>
      </c>
      <c r="D5" s="285"/>
      <c r="E5" s="285"/>
      <c r="F5" s="285"/>
      <c r="G5" s="285"/>
      <c r="H5" s="285"/>
      <c r="I5" s="285"/>
      <c r="J5" s="285"/>
      <c r="K5" s="286"/>
    </row>
    <row r="6" spans="1:11" ht="15.75" x14ac:dyDescent="0.25">
      <c r="A6" s="6"/>
      <c r="B6" s="7" t="s">
        <v>112</v>
      </c>
      <c r="F6" s="8" t="s">
        <v>30</v>
      </c>
      <c r="G6" s="8" t="s">
        <v>53</v>
      </c>
      <c r="K6" s="10"/>
    </row>
    <row r="7" spans="1:11" ht="30" x14ac:dyDescent="0.2">
      <c r="A7" s="6"/>
      <c r="B7" s="7" t="s">
        <v>113</v>
      </c>
      <c r="J7" s="9" t="s">
        <v>27</v>
      </c>
      <c r="K7" s="11">
        <v>1.2587999999999999</v>
      </c>
    </row>
    <row r="8" spans="1:11" x14ac:dyDescent="0.2">
      <c r="A8" s="6"/>
      <c r="B8" s="7" t="s">
        <v>351</v>
      </c>
      <c r="J8" s="9" t="s">
        <v>28</v>
      </c>
      <c r="K8" s="11">
        <v>0.3</v>
      </c>
    </row>
    <row r="9" spans="1:11" x14ac:dyDescent="0.2">
      <c r="A9" s="6"/>
      <c r="B9" s="7" t="s">
        <v>114</v>
      </c>
      <c r="J9" s="9" t="s">
        <v>29</v>
      </c>
      <c r="K9" s="12">
        <v>41426</v>
      </c>
    </row>
    <row r="10" spans="1:11" s="2" customFormat="1" ht="47.25" x14ac:dyDescent="0.25">
      <c r="A10" s="135" t="s">
        <v>1</v>
      </c>
      <c r="B10" s="136" t="s">
        <v>2</v>
      </c>
      <c r="C10" s="137" t="s">
        <v>3</v>
      </c>
      <c r="D10" s="138" t="s">
        <v>36</v>
      </c>
      <c r="E10" s="139" t="s">
        <v>4</v>
      </c>
      <c r="F10" s="139" t="s">
        <v>21</v>
      </c>
      <c r="G10" s="139" t="s">
        <v>22</v>
      </c>
      <c r="H10" s="139" t="s">
        <v>42</v>
      </c>
      <c r="I10" s="139" t="s">
        <v>43</v>
      </c>
      <c r="J10" s="139" t="s">
        <v>23</v>
      </c>
      <c r="K10" s="139" t="s">
        <v>24</v>
      </c>
    </row>
    <row r="11" spans="1:11" s="2" customFormat="1" ht="15.75" x14ac:dyDescent="0.25">
      <c r="A11" s="127">
        <v>1</v>
      </c>
      <c r="B11" s="13" t="s">
        <v>33</v>
      </c>
      <c r="C11" s="14"/>
      <c r="D11" s="14"/>
      <c r="E11" s="14"/>
      <c r="F11" s="14"/>
      <c r="G11" s="14"/>
      <c r="H11" s="14"/>
      <c r="I11" s="14"/>
      <c r="J11" s="14"/>
      <c r="K11" s="15"/>
    </row>
    <row r="12" spans="1:11" s="39" customFormat="1" ht="30" x14ac:dyDescent="0.2">
      <c r="A12" s="128" t="s">
        <v>158</v>
      </c>
      <c r="B12" s="125" t="s">
        <v>71</v>
      </c>
      <c r="C12" s="77" t="s">
        <v>40</v>
      </c>
      <c r="D12" s="36" t="s">
        <v>37</v>
      </c>
      <c r="E12" s="75">
        <f>175.91*0.2</f>
        <v>35.182000000000002</v>
      </c>
      <c r="F12" s="75">
        <v>0</v>
      </c>
      <c r="G12" s="126">
        <v>41.64</v>
      </c>
      <c r="H12" s="75">
        <f>E12*F12</f>
        <v>0</v>
      </c>
      <c r="I12" s="75">
        <f>E12*G12</f>
        <v>1464.9784800000002</v>
      </c>
      <c r="J12" s="75">
        <f>F12+G12</f>
        <v>41.64</v>
      </c>
      <c r="K12" s="75">
        <f>J12*E12</f>
        <v>1464.9784800000002</v>
      </c>
    </row>
    <row r="13" spans="1:11" s="39" customFormat="1" x14ac:dyDescent="0.2">
      <c r="A13" s="128" t="s">
        <v>159</v>
      </c>
      <c r="B13" s="28" t="s">
        <v>77</v>
      </c>
      <c r="C13" s="29" t="s">
        <v>41</v>
      </c>
      <c r="D13" s="30" t="s">
        <v>37</v>
      </c>
      <c r="E13" s="33">
        <v>15.67</v>
      </c>
      <c r="F13" s="33">
        <v>0</v>
      </c>
      <c r="G13" s="28">
        <v>16.11</v>
      </c>
      <c r="H13" s="33">
        <f t="shared" ref="H13:H25" si="0">E13*F13</f>
        <v>0</v>
      </c>
      <c r="I13" s="33">
        <f t="shared" ref="I13:I25" si="1">E13*G13</f>
        <v>252.44369999999998</v>
      </c>
      <c r="J13" s="33">
        <f t="shared" ref="J13:J25" si="2">F13+G13</f>
        <v>16.11</v>
      </c>
      <c r="K13" s="33">
        <f t="shared" ref="K13:K25" si="3">J13*E13</f>
        <v>252.44369999999998</v>
      </c>
    </row>
    <row r="14" spans="1:11" s="39" customFormat="1" x14ac:dyDescent="0.2">
      <c r="A14" s="128" t="s">
        <v>160</v>
      </c>
      <c r="B14" s="47" t="s">
        <v>78</v>
      </c>
      <c r="C14" s="29" t="s">
        <v>3</v>
      </c>
      <c r="D14" s="30" t="s">
        <v>37</v>
      </c>
      <c r="E14" s="33">
        <v>10</v>
      </c>
      <c r="F14" s="33">
        <v>0</v>
      </c>
      <c r="G14" s="47">
        <v>11.19</v>
      </c>
      <c r="H14" s="33">
        <f t="shared" si="0"/>
        <v>0</v>
      </c>
      <c r="I14" s="33">
        <f t="shared" si="1"/>
        <v>111.89999999999999</v>
      </c>
      <c r="J14" s="33">
        <f t="shared" si="2"/>
        <v>11.19</v>
      </c>
      <c r="K14" s="33">
        <f t="shared" si="3"/>
        <v>111.89999999999999</v>
      </c>
    </row>
    <row r="15" spans="1:11" s="39" customFormat="1" x14ac:dyDescent="0.2">
      <c r="A15" s="128" t="s">
        <v>161</v>
      </c>
      <c r="B15" s="28" t="s">
        <v>79</v>
      </c>
      <c r="C15" s="29" t="s">
        <v>41</v>
      </c>
      <c r="D15" s="30" t="s">
        <v>37</v>
      </c>
      <c r="E15" s="33">
        <v>59.9</v>
      </c>
      <c r="F15" s="33">
        <v>0</v>
      </c>
      <c r="G15" s="28">
        <v>10.08</v>
      </c>
      <c r="H15" s="33">
        <f t="shared" si="0"/>
        <v>0</v>
      </c>
      <c r="I15" s="33">
        <f t="shared" si="1"/>
        <v>603.79200000000003</v>
      </c>
      <c r="J15" s="33">
        <f t="shared" si="2"/>
        <v>10.08</v>
      </c>
      <c r="K15" s="33">
        <f t="shared" si="3"/>
        <v>603.79200000000003</v>
      </c>
    </row>
    <row r="16" spans="1:11" s="39" customFormat="1" x14ac:dyDescent="0.2">
      <c r="A16" s="128" t="s">
        <v>162</v>
      </c>
      <c r="B16" s="47" t="s">
        <v>76</v>
      </c>
      <c r="C16" s="29" t="s">
        <v>3</v>
      </c>
      <c r="D16" s="30" t="s">
        <v>37</v>
      </c>
      <c r="E16" s="33">
        <v>22</v>
      </c>
      <c r="F16" s="33">
        <v>0</v>
      </c>
      <c r="G16" s="28">
        <v>23.28</v>
      </c>
      <c r="H16" s="33">
        <f t="shared" si="0"/>
        <v>0</v>
      </c>
      <c r="I16" s="33">
        <f t="shared" si="1"/>
        <v>512.16000000000008</v>
      </c>
      <c r="J16" s="33">
        <f t="shared" si="2"/>
        <v>23.28</v>
      </c>
      <c r="K16" s="33">
        <f t="shared" si="3"/>
        <v>512.16000000000008</v>
      </c>
    </row>
    <row r="17" spans="1:11" s="39" customFormat="1" x14ac:dyDescent="0.2">
      <c r="A17" s="128" t="s">
        <v>163</v>
      </c>
      <c r="B17" s="28" t="s">
        <v>75</v>
      </c>
      <c r="C17" s="29" t="s">
        <v>3</v>
      </c>
      <c r="D17" s="30" t="s">
        <v>37</v>
      </c>
      <c r="E17" s="33">
        <v>8</v>
      </c>
      <c r="F17" s="33">
        <v>0</v>
      </c>
      <c r="G17" s="28">
        <v>4.04</v>
      </c>
      <c r="H17" s="33">
        <f t="shared" si="0"/>
        <v>0</v>
      </c>
      <c r="I17" s="33">
        <f t="shared" si="1"/>
        <v>32.32</v>
      </c>
      <c r="J17" s="33">
        <f t="shared" si="2"/>
        <v>4.04</v>
      </c>
      <c r="K17" s="33">
        <f t="shared" si="3"/>
        <v>32.32</v>
      </c>
    </row>
    <row r="18" spans="1:11" s="39" customFormat="1" x14ac:dyDescent="0.2">
      <c r="A18" s="128" t="s">
        <v>164</v>
      </c>
      <c r="B18" s="47" t="s">
        <v>72</v>
      </c>
      <c r="C18" s="29" t="s">
        <v>3</v>
      </c>
      <c r="D18" s="30" t="s">
        <v>37</v>
      </c>
      <c r="E18" s="33">
        <v>14</v>
      </c>
      <c r="F18" s="33">
        <v>0</v>
      </c>
      <c r="G18" s="28">
        <v>6.21</v>
      </c>
      <c r="H18" s="33">
        <f t="shared" si="0"/>
        <v>0</v>
      </c>
      <c r="I18" s="33">
        <f t="shared" si="1"/>
        <v>86.94</v>
      </c>
      <c r="J18" s="33">
        <f t="shared" si="2"/>
        <v>6.21</v>
      </c>
      <c r="K18" s="33">
        <f t="shared" si="3"/>
        <v>86.94</v>
      </c>
    </row>
    <row r="19" spans="1:11" s="39" customFormat="1" x14ac:dyDescent="0.2">
      <c r="A19" s="128" t="s">
        <v>165</v>
      </c>
      <c r="B19" s="28" t="s">
        <v>73</v>
      </c>
      <c r="C19" s="29" t="s">
        <v>41</v>
      </c>
      <c r="D19" s="30" t="s">
        <v>37</v>
      </c>
      <c r="E19" s="33">
        <f>0.58*4</f>
        <v>2.3199999999999998</v>
      </c>
      <c r="F19" s="33">
        <v>0</v>
      </c>
      <c r="G19" s="47">
        <v>32.21</v>
      </c>
      <c r="H19" s="33">
        <f t="shared" si="0"/>
        <v>0</v>
      </c>
      <c r="I19" s="33">
        <f t="shared" si="1"/>
        <v>74.727199999999996</v>
      </c>
      <c r="J19" s="33">
        <f t="shared" si="2"/>
        <v>32.21</v>
      </c>
      <c r="K19" s="33">
        <f t="shared" si="3"/>
        <v>74.727199999999996</v>
      </c>
    </row>
    <row r="20" spans="1:11" s="39" customFormat="1" x14ac:dyDescent="0.2">
      <c r="A20" s="128" t="s">
        <v>166</v>
      </c>
      <c r="B20" s="47" t="s">
        <v>74</v>
      </c>
      <c r="C20" s="29" t="s">
        <v>3</v>
      </c>
      <c r="D20" s="30" t="s">
        <v>37</v>
      </c>
      <c r="E20" s="33">
        <v>4</v>
      </c>
      <c r="F20" s="33">
        <v>0</v>
      </c>
      <c r="G20" s="28">
        <v>17.07</v>
      </c>
      <c r="H20" s="33">
        <f t="shared" si="0"/>
        <v>0</v>
      </c>
      <c r="I20" s="33">
        <f t="shared" si="1"/>
        <v>68.28</v>
      </c>
      <c r="J20" s="33">
        <f t="shared" si="2"/>
        <v>17.07</v>
      </c>
      <c r="K20" s="33">
        <f t="shared" si="3"/>
        <v>68.28</v>
      </c>
    </row>
    <row r="21" spans="1:11" s="39" customFormat="1" ht="30" x14ac:dyDescent="0.2">
      <c r="A21" s="128" t="s">
        <v>167</v>
      </c>
      <c r="B21" s="123" t="s">
        <v>435</v>
      </c>
      <c r="C21" s="77" t="s">
        <v>40</v>
      </c>
      <c r="D21" s="36" t="s">
        <v>37</v>
      </c>
      <c r="E21" s="75">
        <f>E12+(E13*0.2)+(E15*0.2)+(E19*0.2)+3</f>
        <v>53.760000000000005</v>
      </c>
      <c r="F21" s="124">
        <v>71.67</v>
      </c>
      <c r="G21" s="124">
        <v>6.73</v>
      </c>
      <c r="H21" s="75">
        <f t="shared" si="0"/>
        <v>3852.9792000000007</v>
      </c>
      <c r="I21" s="75">
        <f t="shared" si="1"/>
        <v>361.80480000000006</v>
      </c>
      <c r="J21" s="75">
        <f t="shared" si="2"/>
        <v>78.400000000000006</v>
      </c>
      <c r="K21" s="75">
        <f t="shared" si="3"/>
        <v>4214.7840000000006</v>
      </c>
    </row>
    <row r="22" spans="1:11" s="39" customFormat="1" x14ac:dyDescent="0.2">
      <c r="A22" s="128" t="s">
        <v>191</v>
      </c>
      <c r="B22" s="35" t="s">
        <v>434</v>
      </c>
      <c r="C22" s="147" t="s">
        <v>41</v>
      </c>
      <c r="D22" s="30" t="s">
        <v>37</v>
      </c>
      <c r="E22" s="33">
        <v>85.36</v>
      </c>
      <c r="F22" s="28">
        <v>0.21</v>
      </c>
      <c r="G22" s="28">
        <v>2.81</v>
      </c>
      <c r="H22" s="33">
        <f t="shared" si="0"/>
        <v>17.925599999999999</v>
      </c>
      <c r="I22" s="33">
        <f t="shared" si="1"/>
        <v>239.86160000000001</v>
      </c>
      <c r="J22" s="33">
        <f t="shared" si="2"/>
        <v>3.02</v>
      </c>
      <c r="K22" s="33">
        <f t="shared" si="3"/>
        <v>257.78719999999998</v>
      </c>
    </row>
    <row r="23" spans="1:11" s="39" customFormat="1" ht="30" x14ac:dyDescent="0.2">
      <c r="A23" s="128" t="s">
        <v>192</v>
      </c>
      <c r="B23" s="118" t="s">
        <v>190</v>
      </c>
      <c r="C23" s="77" t="s">
        <v>41</v>
      </c>
      <c r="D23" s="36" t="s">
        <v>37</v>
      </c>
      <c r="E23" s="75">
        <v>46.1</v>
      </c>
      <c r="F23" s="75">
        <v>0</v>
      </c>
      <c r="G23" s="124">
        <v>1.33</v>
      </c>
      <c r="H23" s="75">
        <f t="shared" si="0"/>
        <v>0</v>
      </c>
      <c r="I23" s="75">
        <f t="shared" si="1"/>
        <v>61.313000000000002</v>
      </c>
      <c r="J23" s="75">
        <f t="shared" si="2"/>
        <v>1.33</v>
      </c>
      <c r="K23" s="75">
        <f t="shared" si="3"/>
        <v>61.313000000000002</v>
      </c>
    </row>
    <row r="24" spans="1:11" s="39" customFormat="1" x14ac:dyDescent="0.2">
      <c r="A24" s="128" t="s">
        <v>200</v>
      </c>
      <c r="B24" s="35" t="s">
        <v>193</v>
      </c>
      <c r="C24" s="147" t="s">
        <v>41</v>
      </c>
      <c r="D24" s="30" t="s">
        <v>37</v>
      </c>
      <c r="E24" s="33">
        <v>98.15</v>
      </c>
      <c r="F24" s="33">
        <v>0</v>
      </c>
      <c r="G24" s="28">
        <v>6.73</v>
      </c>
      <c r="H24" s="33">
        <f t="shared" si="0"/>
        <v>0</v>
      </c>
      <c r="I24" s="33">
        <f t="shared" si="1"/>
        <v>660.54950000000008</v>
      </c>
      <c r="J24" s="33">
        <f t="shared" si="2"/>
        <v>6.73</v>
      </c>
      <c r="K24" s="33">
        <f t="shared" si="3"/>
        <v>660.54950000000008</v>
      </c>
    </row>
    <row r="25" spans="1:11" s="39" customFormat="1" x14ac:dyDescent="0.2">
      <c r="A25" s="128" t="s">
        <v>324</v>
      </c>
      <c r="B25" s="35" t="s">
        <v>323</v>
      </c>
      <c r="C25" s="147" t="s">
        <v>41</v>
      </c>
      <c r="D25" s="30" t="s">
        <v>37</v>
      </c>
      <c r="E25" s="33">
        <v>102.3</v>
      </c>
      <c r="F25" s="33">
        <v>0</v>
      </c>
      <c r="G25" s="28">
        <v>5.61</v>
      </c>
      <c r="H25" s="33">
        <f t="shared" si="0"/>
        <v>0</v>
      </c>
      <c r="I25" s="33">
        <f t="shared" si="1"/>
        <v>573.90300000000002</v>
      </c>
      <c r="J25" s="33">
        <f t="shared" si="2"/>
        <v>5.61</v>
      </c>
      <c r="K25" s="33">
        <f t="shared" si="3"/>
        <v>573.90300000000002</v>
      </c>
    </row>
    <row r="26" spans="1:11" s="39" customFormat="1" ht="15.75" x14ac:dyDescent="0.25">
      <c r="A26" s="128"/>
      <c r="B26" s="48" t="s">
        <v>61</v>
      </c>
      <c r="C26" s="271"/>
      <c r="D26" s="271"/>
      <c r="E26" s="271"/>
      <c r="F26" s="271"/>
      <c r="G26" s="271"/>
      <c r="H26" s="271"/>
      <c r="I26" s="271"/>
      <c r="J26" s="271"/>
      <c r="K26" s="49">
        <f>SUM(K12:K25)</f>
        <v>8975.8780800000004</v>
      </c>
    </row>
    <row r="27" spans="1:11" s="5" customFormat="1" ht="15.75" x14ac:dyDescent="0.25">
      <c r="A27" s="129">
        <v>2</v>
      </c>
      <c r="B27" s="275" t="s">
        <v>5</v>
      </c>
      <c r="C27" s="275"/>
      <c r="D27" s="275"/>
      <c r="E27" s="275"/>
      <c r="F27" s="275"/>
      <c r="G27" s="275"/>
      <c r="H27" s="275"/>
      <c r="I27" s="275"/>
      <c r="J27" s="275"/>
      <c r="K27" s="275"/>
    </row>
    <row r="28" spans="1:11" s="39" customFormat="1" ht="15" customHeight="1" x14ac:dyDescent="0.2">
      <c r="A28" s="128" t="s">
        <v>6</v>
      </c>
      <c r="B28" s="106" t="s">
        <v>431</v>
      </c>
      <c r="C28" s="147" t="s">
        <v>51</v>
      </c>
      <c r="D28" s="30" t="s">
        <v>37</v>
      </c>
      <c r="E28" s="33">
        <v>4</v>
      </c>
      <c r="F28" s="33">
        <v>275</v>
      </c>
      <c r="G28" s="33">
        <v>2.08</v>
      </c>
      <c r="H28" s="33">
        <f>E28*F28</f>
        <v>1100</v>
      </c>
      <c r="I28" s="33">
        <f>E28*G28</f>
        <v>8.32</v>
      </c>
      <c r="J28" s="33">
        <f>F28+G28</f>
        <v>277.08</v>
      </c>
      <c r="K28" s="33">
        <f t="shared" ref="K28:K31" si="4">J28*E28</f>
        <v>1108.32</v>
      </c>
    </row>
    <row r="29" spans="1:11" s="39" customFormat="1" x14ac:dyDescent="0.2">
      <c r="A29" s="128" t="s">
        <v>168</v>
      </c>
      <c r="B29" s="50" t="s">
        <v>62</v>
      </c>
      <c r="C29" s="147" t="s">
        <v>41</v>
      </c>
      <c r="D29" s="147" t="s">
        <v>37</v>
      </c>
      <c r="E29" s="31">
        <v>6</v>
      </c>
      <c r="F29" s="27">
        <f>277.24</f>
        <v>277.24</v>
      </c>
      <c r="G29" s="27">
        <f>46.33</f>
        <v>46.33</v>
      </c>
      <c r="H29" s="33">
        <f>E29*F29</f>
        <v>1663.44</v>
      </c>
      <c r="I29" s="33">
        <f>E29*G29</f>
        <v>277.98</v>
      </c>
      <c r="J29" s="33">
        <f>F29+G29</f>
        <v>323.57</v>
      </c>
      <c r="K29" s="33">
        <f t="shared" si="4"/>
        <v>1941.42</v>
      </c>
    </row>
    <row r="30" spans="1:11" s="39" customFormat="1" x14ac:dyDescent="0.2">
      <c r="A30" s="128" t="s">
        <v>169</v>
      </c>
      <c r="B30" s="51" t="s">
        <v>63</v>
      </c>
      <c r="C30" s="147" t="s">
        <v>41</v>
      </c>
      <c r="D30" s="52" t="s">
        <v>37</v>
      </c>
      <c r="E30" s="31">
        <f>60.4</f>
        <v>60.4</v>
      </c>
      <c r="F30" s="53">
        <f>22.91-1.69</f>
        <v>21.22</v>
      </c>
      <c r="G30" s="53">
        <f>18.47-4</f>
        <v>14.469999999999999</v>
      </c>
      <c r="H30" s="33">
        <f>E30*F30</f>
        <v>1281.6879999999999</v>
      </c>
      <c r="I30" s="33">
        <f>E30*G30</f>
        <v>873.98799999999994</v>
      </c>
      <c r="J30" s="33">
        <f>F30+G30</f>
        <v>35.69</v>
      </c>
      <c r="K30" s="33">
        <f t="shared" si="4"/>
        <v>2155.6759999999999</v>
      </c>
    </row>
    <row r="31" spans="1:11" s="39" customFormat="1" ht="15" customHeight="1" x14ac:dyDescent="0.2">
      <c r="A31" s="128" t="s">
        <v>170</v>
      </c>
      <c r="B31" s="47" t="s">
        <v>117</v>
      </c>
      <c r="C31" s="147" t="s">
        <v>41</v>
      </c>
      <c r="D31" s="52" t="s">
        <v>37</v>
      </c>
      <c r="E31" s="33">
        <f>167/2*1.5</f>
        <v>125.25</v>
      </c>
      <c r="F31" s="33">
        <v>3.71</v>
      </c>
      <c r="G31" s="33">
        <v>3.18</v>
      </c>
      <c r="H31" s="33">
        <f>E31*F31</f>
        <v>464.67750000000001</v>
      </c>
      <c r="I31" s="33">
        <f>E31*G31</f>
        <v>398.29500000000002</v>
      </c>
      <c r="J31" s="33">
        <f>F31+G31</f>
        <v>6.8900000000000006</v>
      </c>
      <c r="K31" s="33">
        <f t="shared" si="4"/>
        <v>862.97250000000008</v>
      </c>
    </row>
    <row r="32" spans="1:11" s="39" customFormat="1" ht="15.75" x14ac:dyDescent="0.25">
      <c r="A32" s="128"/>
      <c r="B32" s="48" t="s">
        <v>61</v>
      </c>
      <c r="C32" s="271"/>
      <c r="D32" s="271"/>
      <c r="E32" s="271"/>
      <c r="F32" s="271"/>
      <c r="G32" s="271"/>
      <c r="H32" s="271"/>
      <c r="I32" s="271"/>
      <c r="J32" s="271"/>
      <c r="K32" s="49">
        <f>SUM(K28:K31)</f>
        <v>6068.3884999999991</v>
      </c>
    </row>
    <row r="33" spans="1:11" s="5" customFormat="1" ht="15.75" x14ac:dyDescent="0.25">
      <c r="A33" s="129">
        <v>3</v>
      </c>
      <c r="B33" s="54" t="s">
        <v>7</v>
      </c>
      <c r="C33" s="55"/>
      <c r="D33" s="55"/>
      <c r="E33" s="55"/>
      <c r="F33" s="55"/>
      <c r="G33" s="55"/>
      <c r="H33" s="55"/>
      <c r="I33" s="55"/>
      <c r="J33" s="55"/>
      <c r="K33" s="56"/>
    </row>
    <row r="34" spans="1:11" s="39" customFormat="1" ht="15.75" x14ac:dyDescent="0.25">
      <c r="A34" s="128"/>
      <c r="B34" s="48" t="s">
        <v>61</v>
      </c>
      <c r="C34" s="271"/>
      <c r="D34" s="271"/>
      <c r="E34" s="271"/>
      <c r="F34" s="271"/>
      <c r="G34" s="271"/>
      <c r="H34" s="271"/>
      <c r="I34" s="271"/>
      <c r="J34" s="271"/>
      <c r="K34" s="49">
        <v>0</v>
      </c>
    </row>
    <row r="35" spans="1:11" s="5" customFormat="1" ht="15.75" x14ac:dyDescent="0.25">
      <c r="A35" s="129">
        <v>4</v>
      </c>
      <c r="B35" s="54" t="s">
        <v>8</v>
      </c>
      <c r="C35" s="55"/>
      <c r="D35" s="55"/>
      <c r="E35" s="55"/>
      <c r="F35" s="55"/>
      <c r="G35" s="55"/>
      <c r="H35" s="55"/>
      <c r="I35" s="55"/>
      <c r="J35" s="55"/>
      <c r="K35" s="56"/>
    </row>
    <row r="36" spans="1:11" s="5" customFormat="1" ht="15.75" x14ac:dyDescent="0.25">
      <c r="A36" s="129" t="s">
        <v>9</v>
      </c>
      <c r="B36" s="57" t="s">
        <v>45</v>
      </c>
      <c r="C36" s="147"/>
      <c r="D36" s="30"/>
      <c r="E36" s="33"/>
      <c r="F36" s="33"/>
      <c r="G36" s="33"/>
      <c r="H36" s="33"/>
      <c r="I36" s="33"/>
      <c r="J36" s="33"/>
      <c r="K36" s="33"/>
    </row>
    <row r="37" spans="1:11" s="5" customFormat="1" ht="30" x14ac:dyDescent="0.25">
      <c r="A37" s="128" t="s">
        <v>208</v>
      </c>
      <c r="B37" s="58" t="s">
        <v>181</v>
      </c>
      <c r="C37" s="77" t="s">
        <v>40</v>
      </c>
      <c r="D37" s="36" t="s">
        <v>38</v>
      </c>
      <c r="E37" s="75">
        <f>(21.39)*0.4*0.7+0.7*0.7*0.7*4</f>
        <v>7.3612000000000002</v>
      </c>
      <c r="F37" s="75">
        <v>0</v>
      </c>
      <c r="G37" s="75">
        <v>39.871200000000002</v>
      </c>
      <c r="H37" s="75">
        <f>E37*F37</f>
        <v>0</v>
      </c>
      <c r="I37" s="75">
        <f>E37*G37</f>
        <v>293.49987744000003</v>
      </c>
      <c r="J37" s="75">
        <f>F37+G37</f>
        <v>39.871200000000002</v>
      </c>
      <c r="K37" s="75">
        <f t="shared" ref="K37:K49" si="5">J37*E37</f>
        <v>293.49987744000003</v>
      </c>
    </row>
    <row r="38" spans="1:11" s="5" customFormat="1" ht="15.75" x14ac:dyDescent="0.25">
      <c r="A38" s="128" t="s">
        <v>209</v>
      </c>
      <c r="B38" s="59" t="s">
        <v>64</v>
      </c>
      <c r="C38" s="147" t="s">
        <v>40</v>
      </c>
      <c r="D38" s="30" t="s">
        <v>37</v>
      </c>
      <c r="E38" s="33">
        <f>E37-E47-3*(3.65*0.14*0.3)</f>
        <v>4.0191999999999997</v>
      </c>
      <c r="F38" s="33">
        <v>0</v>
      </c>
      <c r="G38" s="33">
        <v>10.46</v>
      </c>
      <c r="H38" s="33">
        <f t="shared" ref="H38:H39" si="6">E38*F38</f>
        <v>0</v>
      </c>
      <c r="I38" s="33">
        <f t="shared" ref="I38:I39" si="7">E38*G38</f>
        <v>42.040832000000002</v>
      </c>
      <c r="J38" s="33">
        <f t="shared" ref="J38:J39" si="8">F38+G38</f>
        <v>10.46</v>
      </c>
      <c r="K38" s="33">
        <f t="shared" si="5"/>
        <v>42.040832000000002</v>
      </c>
    </row>
    <row r="39" spans="1:11" s="5" customFormat="1" ht="15.75" x14ac:dyDescent="0.25">
      <c r="A39" s="128" t="s">
        <v>210</v>
      </c>
      <c r="B39" s="59" t="s">
        <v>46</v>
      </c>
      <c r="C39" s="147" t="s">
        <v>41</v>
      </c>
      <c r="D39" s="30" t="s">
        <v>38</v>
      </c>
      <c r="E39" s="33">
        <f>21.39*0.4</f>
        <v>8.5560000000000009</v>
      </c>
      <c r="F39" s="33">
        <v>0</v>
      </c>
      <c r="G39" s="33">
        <v>3.98712</v>
      </c>
      <c r="H39" s="33">
        <f t="shared" si="6"/>
        <v>0</v>
      </c>
      <c r="I39" s="33">
        <f t="shared" si="7"/>
        <v>34.113798720000005</v>
      </c>
      <c r="J39" s="33">
        <f t="shared" si="8"/>
        <v>3.98712</v>
      </c>
      <c r="K39" s="33">
        <f t="shared" si="5"/>
        <v>34.113798720000005</v>
      </c>
    </row>
    <row r="40" spans="1:11" s="5" customFormat="1" ht="15.75" x14ac:dyDescent="0.25">
      <c r="A40" s="129" t="s">
        <v>47</v>
      </c>
      <c r="B40" s="60" t="s">
        <v>65</v>
      </c>
      <c r="C40" s="147"/>
      <c r="D40" s="30"/>
      <c r="E40" s="33"/>
      <c r="F40" s="33"/>
      <c r="G40" s="33"/>
      <c r="H40" s="33"/>
      <c r="I40" s="33"/>
      <c r="J40" s="33"/>
      <c r="K40" s="33"/>
    </row>
    <row r="41" spans="1:11" s="5" customFormat="1" ht="15.75" x14ac:dyDescent="0.25">
      <c r="A41" s="128" t="s">
        <v>211</v>
      </c>
      <c r="B41" s="59" t="s">
        <v>182</v>
      </c>
      <c r="C41" s="147" t="s">
        <v>35</v>
      </c>
      <c r="D41" s="30" t="s">
        <v>37</v>
      </c>
      <c r="E41" s="33">
        <f>4*5</f>
        <v>20</v>
      </c>
      <c r="F41" s="33">
        <v>31.15</v>
      </c>
      <c r="G41" s="33">
        <v>11.96</v>
      </c>
      <c r="H41" s="33">
        <f>E41*F41</f>
        <v>623</v>
      </c>
      <c r="I41" s="33">
        <f>E41*G41</f>
        <v>239.20000000000002</v>
      </c>
      <c r="J41" s="33">
        <f>F41+G41</f>
        <v>43.11</v>
      </c>
      <c r="K41" s="33">
        <f t="shared" si="5"/>
        <v>862.2</v>
      </c>
    </row>
    <row r="42" spans="1:11" s="5" customFormat="1" ht="15.75" x14ac:dyDescent="0.25">
      <c r="A42" s="129" t="s">
        <v>48</v>
      </c>
      <c r="B42" s="61" t="s">
        <v>49</v>
      </c>
      <c r="C42" s="147"/>
      <c r="D42" s="30"/>
      <c r="E42" s="33"/>
      <c r="F42" s="33"/>
      <c r="G42" s="33"/>
      <c r="H42" s="33"/>
      <c r="I42" s="33"/>
      <c r="J42" s="33"/>
      <c r="K42" s="33"/>
    </row>
    <row r="43" spans="1:11" s="5" customFormat="1" ht="30" x14ac:dyDescent="0.25">
      <c r="A43" s="128" t="s">
        <v>212</v>
      </c>
      <c r="B43" s="62" t="s">
        <v>66</v>
      </c>
      <c r="C43" s="77" t="s">
        <v>41</v>
      </c>
      <c r="D43" s="36" t="s">
        <v>37</v>
      </c>
      <c r="E43" s="75">
        <f>E39</f>
        <v>8.5560000000000009</v>
      </c>
      <c r="F43" s="75">
        <v>9.69</v>
      </c>
      <c r="G43" s="75">
        <v>11.68</v>
      </c>
      <c r="H43" s="75">
        <f>E43*F43</f>
        <v>82.907640000000001</v>
      </c>
      <c r="I43" s="75">
        <f>E43*G43</f>
        <v>99.934080000000009</v>
      </c>
      <c r="J43" s="75">
        <f>F43+G43</f>
        <v>21.369999999999997</v>
      </c>
      <c r="K43" s="75">
        <f t="shared" si="5"/>
        <v>182.84172000000001</v>
      </c>
    </row>
    <row r="44" spans="1:11" s="5" customFormat="1" ht="15.75" x14ac:dyDescent="0.25">
      <c r="A44" s="128" t="s">
        <v>213</v>
      </c>
      <c r="B44" s="62" t="s">
        <v>183</v>
      </c>
      <c r="C44" s="147" t="s">
        <v>41</v>
      </c>
      <c r="D44" s="30" t="s">
        <v>37</v>
      </c>
      <c r="E44" s="33">
        <f>((21.39*2)*0.3)+(11.84)+(5)</f>
        <v>29.673999999999999</v>
      </c>
      <c r="F44" s="33">
        <v>15.56</v>
      </c>
      <c r="G44" s="33">
        <v>31.35</v>
      </c>
      <c r="H44" s="33">
        <f t="shared" ref="H44:H49" si="9">E44*F44</f>
        <v>461.72744</v>
      </c>
      <c r="I44" s="33">
        <f t="shared" ref="I44:I49" si="10">E44*G44</f>
        <v>930.2799</v>
      </c>
      <c r="J44" s="33">
        <f t="shared" ref="J44:J49" si="11">F44+G44</f>
        <v>46.910000000000004</v>
      </c>
      <c r="K44" s="33">
        <f t="shared" si="5"/>
        <v>1392.0073400000001</v>
      </c>
    </row>
    <row r="45" spans="1:11" s="5" customFormat="1" ht="30" x14ac:dyDescent="0.25">
      <c r="A45" s="128" t="s">
        <v>214</v>
      </c>
      <c r="B45" s="62" t="s">
        <v>196</v>
      </c>
      <c r="C45" s="77" t="s">
        <v>50</v>
      </c>
      <c r="D45" s="36" t="s">
        <v>37</v>
      </c>
      <c r="E45" s="75">
        <f>66+24.71</f>
        <v>90.710000000000008</v>
      </c>
      <c r="F45" s="75">
        <v>3.35</v>
      </c>
      <c r="G45" s="75">
        <v>1.41</v>
      </c>
      <c r="H45" s="75">
        <f>E45*F45</f>
        <v>303.87850000000003</v>
      </c>
      <c r="I45" s="75">
        <f t="shared" si="10"/>
        <v>127.9011</v>
      </c>
      <c r="J45" s="75">
        <f t="shared" si="11"/>
        <v>4.76</v>
      </c>
      <c r="K45" s="75">
        <f t="shared" si="5"/>
        <v>431.77960000000002</v>
      </c>
    </row>
    <row r="46" spans="1:11" s="5" customFormat="1" ht="30" x14ac:dyDescent="0.25">
      <c r="A46" s="128" t="s">
        <v>215</v>
      </c>
      <c r="B46" s="62" t="s">
        <v>197</v>
      </c>
      <c r="C46" s="77" t="s">
        <v>50</v>
      </c>
      <c r="D46" s="36" t="s">
        <v>37</v>
      </c>
      <c r="E46" s="75">
        <f>23.1</f>
        <v>23.1</v>
      </c>
      <c r="F46" s="75">
        <v>3.21</v>
      </c>
      <c r="G46" s="75">
        <v>1.41</v>
      </c>
      <c r="H46" s="75">
        <f t="shared" si="9"/>
        <v>74.15100000000001</v>
      </c>
      <c r="I46" s="75">
        <f t="shared" si="10"/>
        <v>32.570999999999998</v>
      </c>
      <c r="J46" s="75">
        <f t="shared" si="11"/>
        <v>4.62</v>
      </c>
      <c r="K46" s="75">
        <f t="shared" si="5"/>
        <v>106.72200000000001</v>
      </c>
    </row>
    <row r="47" spans="1:11" s="5" customFormat="1" ht="15.75" x14ac:dyDescent="0.25">
      <c r="A47" s="128" t="s">
        <v>216</v>
      </c>
      <c r="B47" s="62" t="s">
        <v>184</v>
      </c>
      <c r="C47" s="77" t="s">
        <v>40</v>
      </c>
      <c r="D47" s="36" t="s">
        <v>37</v>
      </c>
      <c r="E47" s="75">
        <f>1.316+0.5661+1</f>
        <v>2.8821000000000003</v>
      </c>
      <c r="F47" s="75">
        <v>286.94</v>
      </c>
      <c r="G47" s="75">
        <v>0</v>
      </c>
      <c r="H47" s="75">
        <f t="shared" si="9"/>
        <v>826.98977400000012</v>
      </c>
      <c r="I47" s="75">
        <f t="shared" si="10"/>
        <v>0</v>
      </c>
      <c r="J47" s="75">
        <f t="shared" si="11"/>
        <v>286.94</v>
      </c>
      <c r="K47" s="75">
        <f t="shared" si="5"/>
        <v>826.98977400000012</v>
      </c>
    </row>
    <row r="48" spans="1:11" s="5" customFormat="1" ht="30" x14ac:dyDescent="0.25">
      <c r="A48" s="128" t="s">
        <v>217</v>
      </c>
      <c r="B48" s="62" t="s">
        <v>67</v>
      </c>
      <c r="C48" s="77" t="s">
        <v>40</v>
      </c>
      <c r="D48" s="36" t="s">
        <v>37</v>
      </c>
      <c r="E48" s="75">
        <f>E47</f>
        <v>2.8821000000000003</v>
      </c>
      <c r="F48" s="75">
        <v>0</v>
      </c>
      <c r="G48" s="75">
        <v>87.66</v>
      </c>
      <c r="H48" s="75">
        <f t="shared" si="9"/>
        <v>0</v>
      </c>
      <c r="I48" s="75">
        <f t="shared" si="10"/>
        <v>252.64488600000001</v>
      </c>
      <c r="J48" s="75">
        <f t="shared" si="11"/>
        <v>87.66</v>
      </c>
      <c r="K48" s="75">
        <f t="shared" si="5"/>
        <v>252.64488600000001</v>
      </c>
    </row>
    <row r="49" spans="1:11" s="5" customFormat="1" ht="15.75" x14ac:dyDescent="0.25">
      <c r="A49" s="128" t="s">
        <v>218</v>
      </c>
      <c r="B49" s="47" t="s">
        <v>185</v>
      </c>
      <c r="C49" s="147" t="s">
        <v>40</v>
      </c>
      <c r="D49" s="30" t="s">
        <v>37</v>
      </c>
      <c r="E49" s="33">
        <f>21.39*0.2*0.14</f>
        <v>0.59892000000000012</v>
      </c>
      <c r="F49" s="28">
        <v>440.5</v>
      </c>
      <c r="G49" s="28">
        <v>465.38</v>
      </c>
      <c r="H49" s="33">
        <f t="shared" si="9"/>
        <v>263.82426000000004</v>
      </c>
      <c r="I49" s="33">
        <f t="shared" si="10"/>
        <v>278.72538960000003</v>
      </c>
      <c r="J49" s="33">
        <f t="shared" si="11"/>
        <v>905.88</v>
      </c>
      <c r="K49" s="33">
        <f t="shared" si="5"/>
        <v>542.54964960000007</v>
      </c>
    </row>
    <row r="50" spans="1:11" s="5" customFormat="1" ht="15.75" x14ac:dyDescent="0.25">
      <c r="A50" s="128"/>
      <c r="B50" s="48" t="s">
        <v>61</v>
      </c>
      <c r="C50" s="147"/>
      <c r="D50" s="30"/>
      <c r="E50" s="33"/>
      <c r="F50" s="33"/>
      <c r="G50" s="33"/>
      <c r="H50" s="33"/>
      <c r="I50" s="33"/>
      <c r="J50" s="33"/>
      <c r="K50" s="49">
        <f>SUM(K37:K49)</f>
        <v>4967.3894777599999</v>
      </c>
    </row>
    <row r="51" spans="1:11" s="5" customFormat="1" ht="15.75" x14ac:dyDescent="0.25">
      <c r="A51" s="129">
        <v>5</v>
      </c>
      <c r="B51" s="61" t="s">
        <v>130</v>
      </c>
      <c r="C51" s="147"/>
      <c r="D51" s="30"/>
      <c r="E51" s="33"/>
      <c r="F51" s="33"/>
      <c r="G51" s="33"/>
      <c r="H51" s="33"/>
      <c r="I51" s="33"/>
      <c r="J51" s="33"/>
      <c r="K51" s="33"/>
    </row>
    <row r="52" spans="1:11" s="5" customFormat="1" ht="15.75" x14ac:dyDescent="0.25">
      <c r="A52" s="128" t="s">
        <v>219</v>
      </c>
      <c r="B52" s="62" t="s">
        <v>188</v>
      </c>
      <c r="C52" s="147" t="s">
        <v>41</v>
      </c>
      <c r="D52" s="30" t="s">
        <v>37</v>
      </c>
      <c r="E52" s="33">
        <f>((0.3+0.14)*2*3.69*3+(0.7+0.14)*2*3.69+(0.2+0.2)*2*1.8*2+(0.2+0.14)*2*1.8*2)+(0.2*3*3.64*4+0.2*3*0.95*4)+(3.5*2)</f>
        <v>39.284800000000004</v>
      </c>
      <c r="F52" s="33">
        <v>64.22</v>
      </c>
      <c r="G52" s="33">
        <v>36.17</v>
      </c>
      <c r="H52" s="33">
        <f t="shared" ref="H52" si="12">E52*F52</f>
        <v>2522.8698560000003</v>
      </c>
      <c r="I52" s="33">
        <f t="shared" ref="I52:I56" si="13">E52*G52</f>
        <v>1420.9312160000002</v>
      </c>
      <c r="J52" s="33">
        <f t="shared" ref="J52:J56" si="14">F52+G52</f>
        <v>100.39</v>
      </c>
      <c r="K52" s="33">
        <f t="shared" ref="K52:K56" si="15">J52*E52</f>
        <v>3943.8010720000007</v>
      </c>
    </row>
    <row r="53" spans="1:11" s="5" customFormat="1" ht="30" x14ac:dyDescent="0.25">
      <c r="A53" s="128" t="s">
        <v>220</v>
      </c>
      <c r="B53" s="62" t="s">
        <v>198</v>
      </c>
      <c r="C53" s="77" t="s">
        <v>50</v>
      </c>
      <c r="D53" s="36" t="s">
        <v>37</v>
      </c>
      <c r="E53" s="75">
        <f>24+76.63+113.84</f>
        <v>214.47</v>
      </c>
      <c r="F53" s="75">
        <v>3.35</v>
      </c>
      <c r="G53" s="75">
        <v>1.41</v>
      </c>
      <c r="H53" s="75">
        <f>E53*F53</f>
        <v>718.47450000000003</v>
      </c>
      <c r="I53" s="75">
        <f t="shared" si="13"/>
        <v>302.40269999999998</v>
      </c>
      <c r="J53" s="75">
        <f t="shared" si="14"/>
        <v>4.76</v>
      </c>
      <c r="K53" s="75">
        <f t="shared" si="15"/>
        <v>1020.8771999999999</v>
      </c>
    </row>
    <row r="54" spans="1:11" s="5" customFormat="1" ht="30" x14ac:dyDescent="0.25">
      <c r="A54" s="128" t="s">
        <v>221</v>
      </c>
      <c r="B54" s="62" t="s">
        <v>199</v>
      </c>
      <c r="C54" s="77" t="s">
        <v>50</v>
      </c>
      <c r="D54" s="36" t="s">
        <v>37</v>
      </c>
      <c r="E54" s="75">
        <f>14+23.77</f>
        <v>37.769999999999996</v>
      </c>
      <c r="F54" s="75">
        <v>3.21</v>
      </c>
      <c r="G54" s="75">
        <v>1.41</v>
      </c>
      <c r="H54" s="75">
        <f t="shared" ref="H54:H56" si="16">E54*F54</f>
        <v>121.24169999999998</v>
      </c>
      <c r="I54" s="75">
        <f t="shared" si="13"/>
        <v>53.25569999999999</v>
      </c>
      <c r="J54" s="75">
        <f t="shared" si="14"/>
        <v>4.62</v>
      </c>
      <c r="K54" s="75">
        <f t="shared" si="15"/>
        <v>174.4974</v>
      </c>
    </row>
    <row r="55" spans="1:11" s="5" customFormat="1" ht="15.75" x14ac:dyDescent="0.25">
      <c r="A55" s="128" t="s">
        <v>222</v>
      </c>
      <c r="B55" s="62" t="s">
        <v>189</v>
      </c>
      <c r="C55" s="147" t="s">
        <v>40</v>
      </c>
      <c r="D55" s="30" t="s">
        <v>37</v>
      </c>
      <c r="E55" s="33">
        <f>((0.3*0.14)*3.69*3+(0.7*0.14)*3.69+(0.2*0.2)*1.8*2+(0.2*0.14)*1.8*2)+(0.2*0.2*3.64*4+0.2*0.2*0.95*4)+(3.5*2*0.12)</f>
        <v>2.6457600000000001</v>
      </c>
      <c r="F55" s="33">
        <v>286.94</v>
      </c>
      <c r="G55" s="33">
        <v>0</v>
      </c>
      <c r="H55" s="33">
        <f t="shared" si="16"/>
        <v>759.17437440000003</v>
      </c>
      <c r="I55" s="33">
        <f t="shared" si="13"/>
        <v>0</v>
      </c>
      <c r="J55" s="33">
        <f t="shared" si="14"/>
        <v>286.94</v>
      </c>
      <c r="K55" s="33">
        <f t="shared" si="15"/>
        <v>759.17437440000003</v>
      </c>
    </row>
    <row r="56" spans="1:11" s="5" customFormat="1" ht="15.75" x14ac:dyDescent="0.25">
      <c r="A56" s="128" t="s">
        <v>223</v>
      </c>
      <c r="B56" s="63" t="s">
        <v>393</v>
      </c>
      <c r="C56" s="147" t="s">
        <v>40</v>
      </c>
      <c r="D56" s="30" t="s">
        <v>37</v>
      </c>
      <c r="E56" s="33">
        <f>E55</f>
        <v>2.6457600000000001</v>
      </c>
      <c r="F56" s="33">
        <v>0</v>
      </c>
      <c r="G56" s="33">
        <v>65.25</v>
      </c>
      <c r="H56" s="33">
        <f t="shared" si="16"/>
        <v>0</v>
      </c>
      <c r="I56" s="33">
        <f t="shared" si="13"/>
        <v>172.63584</v>
      </c>
      <c r="J56" s="33">
        <f t="shared" si="14"/>
        <v>65.25</v>
      </c>
      <c r="K56" s="33">
        <f t="shared" si="15"/>
        <v>172.63584</v>
      </c>
    </row>
    <row r="57" spans="1:11" s="5" customFormat="1" ht="15.75" x14ac:dyDescent="0.25">
      <c r="A57" s="128"/>
      <c r="B57" s="48" t="s">
        <v>61</v>
      </c>
      <c r="C57" s="147"/>
      <c r="D57" s="30"/>
      <c r="E57" s="33"/>
      <c r="F57" s="33"/>
      <c r="G57" s="33"/>
      <c r="H57" s="33"/>
      <c r="I57" s="33"/>
      <c r="J57" s="33"/>
      <c r="K57" s="49">
        <f>SUM(K52:K56)</f>
        <v>6070.9858864000007</v>
      </c>
    </row>
    <row r="58" spans="1:11" s="5" customFormat="1" ht="15.75" x14ac:dyDescent="0.25">
      <c r="A58" s="129">
        <v>6</v>
      </c>
      <c r="B58" s="54" t="s">
        <v>10</v>
      </c>
      <c r="C58" s="55"/>
      <c r="D58" s="55"/>
      <c r="E58" s="55"/>
      <c r="F58" s="55"/>
      <c r="G58" s="55"/>
      <c r="H58" s="55"/>
      <c r="I58" s="55"/>
      <c r="J58" s="55"/>
      <c r="K58" s="56"/>
    </row>
    <row r="59" spans="1:11" s="39" customFormat="1" x14ac:dyDescent="0.2">
      <c r="A59" s="128" t="s">
        <v>11</v>
      </c>
      <c r="B59" s="28" t="s">
        <v>80</v>
      </c>
      <c r="C59" s="147" t="s">
        <v>41</v>
      </c>
      <c r="D59" s="30" t="s">
        <v>37</v>
      </c>
      <c r="E59" s="30">
        <f>93.64+51.65-(2.25*3.45)-1.52</f>
        <v>136.00749999999999</v>
      </c>
      <c r="F59" s="47">
        <v>27.21</v>
      </c>
      <c r="G59" s="64">
        <v>17.46</v>
      </c>
      <c r="H59" s="33">
        <f>E59*F59</f>
        <v>3700.764075</v>
      </c>
      <c r="I59" s="33">
        <f>E59*G59</f>
        <v>2374.6909500000002</v>
      </c>
      <c r="J59" s="33">
        <f>F59+G59</f>
        <v>44.67</v>
      </c>
      <c r="K59" s="33">
        <f t="shared" ref="K59:K64" si="17">J59*E59</f>
        <v>6075.4550250000002</v>
      </c>
    </row>
    <row r="60" spans="1:11" s="39" customFormat="1" x14ac:dyDescent="0.2">
      <c r="A60" s="128" t="s">
        <v>57</v>
      </c>
      <c r="B60" s="28" t="s">
        <v>105</v>
      </c>
      <c r="C60" s="147" t="s">
        <v>41</v>
      </c>
      <c r="D60" s="30" t="s">
        <v>37</v>
      </c>
      <c r="E60" s="30">
        <v>3.9</v>
      </c>
      <c r="F60" s="28">
        <v>33.380000000000003</v>
      </c>
      <c r="G60" s="28">
        <v>20.260000000000002</v>
      </c>
      <c r="H60" s="33">
        <f>E60*F60</f>
        <v>130.18200000000002</v>
      </c>
      <c r="I60" s="33">
        <f>E60*G60</f>
        <v>79.01400000000001</v>
      </c>
      <c r="J60" s="33">
        <f>F60+G60</f>
        <v>53.64</v>
      </c>
      <c r="K60" s="33">
        <f t="shared" si="17"/>
        <v>209.196</v>
      </c>
    </row>
    <row r="61" spans="1:11" s="39" customFormat="1" ht="30" x14ac:dyDescent="0.2">
      <c r="A61" s="128" t="s">
        <v>58</v>
      </c>
      <c r="B61" s="123" t="s">
        <v>433</v>
      </c>
      <c r="C61" s="77" t="s">
        <v>41</v>
      </c>
      <c r="D61" s="36" t="s">
        <v>37</v>
      </c>
      <c r="E61" s="36">
        <v>83.7</v>
      </c>
      <c r="F61" s="124">
        <v>376.35</v>
      </c>
      <c r="G61" s="116">
        <v>0</v>
      </c>
      <c r="H61" s="75">
        <f>E61*F61</f>
        <v>31500.495000000003</v>
      </c>
      <c r="I61" s="75">
        <f t="shared" ref="I61:I64" si="18">E61*G61</f>
        <v>0</v>
      </c>
      <c r="J61" s="75">
        <f t="shared" ref="J61:J64" si="19">F61+G61</f>
        <v>376.35</v>
      </c>
      <c r="K61" s="75">
        <f t="shared" si="17"/>
        <v>31500.495000000003</v>
      </c>
    </row>
    <row r="62" spans="1:11" s="39" customFormat="1" ht="30" x14ac:dyDescent="0.2">
      <c r="A62" s="128" t="s">
        <v>59</v>
      </c>
      <c r="B62" s="123" t="s">
        <v>432</v>
      </c>
      <c r="C62" s="77" t="s">
        <v>41</v>
      </c>
      <c r="D62" s="36" t="s">
        <v>37</v>
      </c>
      <c r="E62" s="36">
        <v>1.75</v>
      </c>
      <c r="F62" s="115">
        <f>376.35*2</f>
        <v>752.7</v>
      </c>
      <c r="G62" s="115">
        <v>0</v>
      </c>
      <c r="H62" s="75">
        <f t="shared" ref="H62:H64" si="20">E62*F62</f>
        <v>1317.2250000000001</v>
      </c>
      <c r="I62" s="75">
        <f t="shared" si="18"/>
        <v>0</v>
      </c>
      <c r="J62" s="75">
        <f t="shared" si="19"/>
        <v>752.7</v>
      </c>
      <c r="K62" s="75">
        <f t="shared" si="17"/>
        <v>1317.2250000000001</v>
      </c>
    </row>
    <row r="63" spans="1:11" s="39" customFormat="1" x14ac:dyDescent="0.2">
      <c r="A63" s="128" t="s">
        <v>180</v>
      </c>
      <c r="B63" s="124" t="s">
        <v>179</v>
      </c>
      <c r="C63" s="77" t="s">
        <v>40</v>
      </c>
      <c r="D63" s="36" t="s">
        <v>37</v>
      </c>
      <c r="E63" s="36">
        <f>48.5*0.14*0.19</f>
        <v>1.2901000000000002</v>
      </c>
      <c r="F63" s="124">
        <v>440.5</v>
      </c>
      <c r="G63" s="124">
        <v>465.38</v>
      </c>
      <c r="H63" s="75">
        <f t="shared" si="20"/>
        <v>568.28905000000009</v>
      </c>
      <c r="I63" s="75">
        <f t="shared" si="18"/>
        <v>600.38673800000015</v>
      </c>
      <c r="J63" s="75">
        <f t="shared" si="19"/>
        <v>905.88</v>
      </c>
      <c r="K63" s="75">
        <f t="shared" si="17"/>
        <v>1168.6757880000002</v>
      </c>
    </row>
    <row r="64" spans="1:11" s="39" customFormat="1" ht="45" x14ac:dyDescent="0.2">
      <c r="A64" s="128" t="s">
        <v>322</v>
      </c>
      <c r="B64" s="118" t="s">
        <v>321</v>
      </c>
      <c r="C64" s="77" t="s">
        <v>40</v>
      </c>
      <c r="D64" s="36" t="s">
        <v>206</v>
      </c>
      <c r="E64" s="36">
        <v>1.25</v>
      </c>
      <c r="F64" s="124">
        <v>349.65</v>
      </c>
      <c r="G64" s="124">
        <v>136.91999999999999</v>
      </c>
      <c r="H64" s="75">
        <f t="shared" si="20"/>
        <v>437.0625</v>
      </c>
      <c r="I64" s="75">
        <f t="shared" si="18"/>
        <v>171.14999999999998</v>
      </c>
      <c r="J64" s="75">
        <f t="shared" si="19"/>
        <v>486.56999999999994</v>
      </c>
      <c r="K64" s="75">
        <f t="shared" si="17"/>
        <v>608.21249999999986</v>
      </c>
    </row>
    <row r="65" spans="1:11" s="39" customFormat="1" ht="15.75" x14ac:dyDescent="0.25">
      <c r="A65" s="128"/>
      <c r="B65" s="48" t="s">
        <v>61</v>
      </c>
      <c r="C65" s="271"/>
      <c r="D65" s="271"/>
      <c r="E65" s="271"/>
      <c r="F65" s="271"/>
      <c r="G65" s="271"/>
      <c r="H65" s="271"/>
      <c r="I65" s="271"/>
      <c r="J65" s="271"/>
      <c r="K65" s="49">
        <f>SUM(K59:K64)</f>
        <v>40879.259313000002</v>
      </c>
    </row>
    <row r="66" spans="1:11" s="5" customFormat="1" ht="15.75" x14ac:dyDescent="0.25">
      <c r="A66" s="142">
        <v>7</v>
      </c>
      <c r="B66" s="79" t="s">
        <v>131</v>
      </c>
      <c r="C66" s="80"/>
      <c r="D66" s="80"/>
      <c r="E66" s="80"/>
      <c r="F66" s="80"/>
      <c r="G66" s="80"/>
      <c r="H66" s="80"/>
      <c r="I66" s="80"/>
      <c r="J66" s="80"/>
      <c r="K66" s="80"/>
    </row>
    <row r="67" spans="1:11" s="39" customFormat="1" ht="45" x14ac:dyDescent="0.2">
      <c r="A67" s="140" t="s">
        <v>171</v>
      </c>
      <c r="B67" s="98" t="s">
        <v>401</v>
      </c>
      <c r="C67" s="144" t="s">
        <v>3</v>
      </c>
      <c r="D67" s="120" t="s">
        <v>313</v>
      </c>
      <c r="E67" s="145">
        <v>6</v>
      </c>
      <c r="F67" s="122">
        <v>712.01</v>
      </c>
      <c r="G67" s="122">
        <v>139.38999999999999</v>
      </c>
      <c r="H67" s="121">
        <f t="shared" ref="H67:H68" si="21">E67*F67</f>
        <v>4272.0599999999995</v>
      </c>
      <c r="I67" s="121">
        <f t="shared" ref="I67:I68" si="22">E67*G67</f>
        <v>836.33999999999992</v>
      </c>
      <c r="J67" s="121">
        <f t="shared" ref="J67:J68" si="23">F67+G67</f>
        <v>851.4</v>
      </c>
      <c r="K67" s="121">
        <f t="shared" ref="K67:K77" si="24">J67*E67</f>
        <v>5108.3999999999996</v>
      </c>
    </row>
    <row r="68" spans="1:11" s="39" customFormat="1" ht="45" x14ac:dyDescent="0.2">
      <c r="A68" s="140" t="s">
        <v>172</v>
      </c>
      <c r="B68" s="98" t="s">
        <v>402</v>
      </c>
      <c r="C68" s="144" t="s">
        <v>3</v>
      </c>
      <c r="D68" s="120" t="s">
        <v>313</v>
      </c>
      <c r="E68" s="145">
        <v>2</v>
      </c>
      <c r="F68" s="122">
        <v>878.82</v>
      </c>
      <c r="G68" s="122">
        <v>147.71</v>
      </c>
      <c r="H68" s="121">
        <f t="shared" si="21"/>
        <v>1757.64</v>
      </c>
      <c r="I68" s="121">
        <f t="shared" si="22"/>
        <v>295.42</v>
      </c>
      <c r="J68" s="121">
        <f t="shared" si="23"/>
        <v>1026.53</v>
      </c>
      <c r="K68" s="121">
        <f t="shared" si="24"/>
        <v>2053.06</v>
      </c>
    </row>
    <row r="69" spans="1:11" s="39" customFormat="1" ht="15.75" x14ac:dyDescent="0.25">
      <c r="A69" s="140"/>
      <c r="B69" s="48" t="s">
        <v>61</v>
      </c>
      <c r="C69" s="147"/>
      <c r="D69" s="30"/>
      <c r="E69" s="65"/>
      <c r="F69" s="66"/>
      <c r="G69" s="66"/>
      <c r="H69" s="33"/>
      <c r="I69" s="33"/>
      <c r="J69" s="33"/>
      <c r="K69" s="49">
        <f>SUM(K67:K68)</f>
        <v>7161.4599999999991</v>
      </c>
    </row>
    <row r="70" spans="1:11" s="39" customFormat="1" ht="15.75" x14ac:dyDescent="0.25">
      <c r="A70" s="141">
        <v>8</v>
      </c>
      <c r="B70" s="79" t="s">
        <v>132</v>
      </c>
      <c r="C70" s="147"/>
      <c r="D70" s="30"/>
      <c r="E70" s="33"/>
      <c r="F70" s="33"/>
      <c r="G70" s="33"/>
      <c r="H70" s="33"/>
      <c r="I70" s="33"/>
      <c r="J70" s="33"/>
      <c r="K70" s="33"/>
    </row>
    <row r="71" spans="1:11" s="39" customFormat="1" ht="30" x14ac:dyDescent="0.2">
      <c r="A71" s="140" t="s">
        <v>173</v>
      </c>
      <c r="B71" s="93" t="s">
        <v>404</v>
      </c>
      <c r="C71" s="147" t="s">
        <v>41</v>
      </c>
      <c r="D71" s="30" t="s">
        <v>313</v>
      </c>
      <c r="E71" s="33">
        <f>0.8*2.1</f>
        <v>1.6800000000000002</v>
      </c>
      <c r="F71" s="33">
        <v>556.73</v>
      </c>
      <c r="G71" s="33">
        <v>74.13</v>
      </c>
      <c r="H71" s="33">
        <f t="shared" ref="H71:H77" si="25">E71*F71</f>
        <v>935.30640000000017</v>
      </c>
      <c r="I71" s="33">
        <f t="shared" ref="I71:I77" si="26">E71*G71</f>
        <v>124.53840000000001</v>
      </c>
      <c r="J71" s="33">
        <f t="shared" ref="J71:J77" si="27">F71+G71</f>
        <v>630.86</v>
      </c>
      <c r="K71" s="33">
        <f t="shared" si="24"/>
        <v>1059.8448000000001</v>
      </c>
    </row>
    <row r="72" spans="1:11" s="39" customFormat="1" ht="30" x14ac:dyDescent="0.2">
      <c r="A72" s="140" t="s">
        <v>174</v>
      </c>
      <c r="B72" s="93" t="s">
        <v>403</v>
      </c>
      <c r="C72" s="147" t="s">
        <v>41</v>
      </c>
      <c r="D72" s="30" t="s">
        <v>313</v>
      </c>
      <c r="E72" s="33">
        <f>(3*1.56*2)</f>
        <v>9.36</v>
      </c>
      <c r="F72" s="33">
        <v>755.59</v>
      </c>
      <c r="G72" s="33">
        <v>74.400000000000006</v>
      </c>
      <c r="H72" s="33">
        <f t="shared" si="25"/>
        <v>7072.3224</v>
      </c>
      <c r="I72" s="33">
        <f t="shared" si="26"/>
        <v>696.38400000000001</v>
      </c>
      <c r="J72" s="33">
        <f t="shared" si="27"/>
        <v>829.99</v>
      </c>
      <c r="K72" s="33">
        <f t="shared" si="24"/>
        <v>7768.7064</v>
      </c>
    </row>
    <row r="73" spans="1:11" s="39" customFormat="1" ht="30" x14ac:dyDescent="0.2">
      <c r="A73" s="140" t="s">
        <v>175</v>
      </c>
      <c r="B73" s="93" t="s">
        <v>405</v>
      </c>
      <c r="C73" s="147" t="s">
        <v>41</v>
      </c>
      <c r="D73" s="30" t="s">
        <v>313</v>
      </c>
      <c r="E73" s="33">
        <f>(3*0.85*6)</f>
        <v>15.299999999999999</v>
      </c>
      <c r="F73" s="33">
        <v>441.88</v>
      </c>
      <c r="G73" s="33">
        <v>37.200000000000003</v>
      </c>
      <c r="H73" s="33">
        <f t="shared" si="25"/>
        <v>6760.7639999999992</v>
      </c>
      <c r="I73" s="33">
        <f t="shared" si="26"/>
        <v>569.16</v>
      </c>
      <c r="J73" s="33">
        <f t="shared" si="27"/>
        <v>479.08</v>
      </c>
      <c r="K73" s="33">
        <f t="shared" si="24"/>
        <v>7329.9239999999991</v>
      </c>
    </row>
    <row r="74" spans="1:11" s="39" customFormat="1" ht="30" x14ac:dyDescent="0.2">
      <c r="A74" s="140" t="s">
        <v>176</v>
      </c>
      <c r="B74" s="93" t="s">
        <v>406</v>
      </c>
      <c r="C74" s="147" t="s">
        <v>41</v>
      </c>
      <c r="D74" s="30" t="s">
        <v>313</v>
      </c>
      <c r="E74" s="33">
        <f>0.85*0.85</f>
        <v>0.72249999999999992</v>
      </c>
      <c r="F74" s="33">
        <v>441.88</v>
      </c>
      <c r="G74" s="33">
        <v>37.200000000000003</v>
      </c>
      <c r="H74" s="33">
        <f t="shared" si="25"/>
        <v>319.25829999999996</v>
      </c>
      <c r="I74" s="33">
        <f t="shared" si="26"/>
        <v>26.876999999999999</v>
      </c>
      <c r="J74" s="33">
        <f t="shared" si="27"/>
        <v>479.08</v>
      </c>
      <c r="K74" s="33">
        <f t="shared" si="24"/>
        <v>346.13529999999997</v>
      </c>
    </row>
    <row r="75" spans="1:11" s="39" customFormat="1" ht="30" x14ac:dyDescent="0.2">
      <c r="A75" s="140" t="s">
        <v>390</v>
      </c>
      <c r="B75" s="93" t="s">
        <v>407</v>
      </c>
      <c r="C75" s="147" t="s">
        <v>41</v>
      </c>
      <c r="D75" s="30" t="s">
        <v>313</v>
      </c>
      <c r="E75" s="33">
        <f>0.7*0.85</f>
        <v>0.59499999999999997</v>
      </c>
      <c r="F75" s="33">
        <v>441.88</v>
      </c>
      <c r="G75" s="33">
        <v>37.200000000000003</v>
      </c>
      <c r="H75" s="33">
        <f t="shared" si="25"/>
        <v>262.91859999999997</v>
      </c>
      <c r="I75" s="33">
        <f t="shared" si="26"/>
        <v>22.134</v>
      </c>
      <c r="J75" s="33">
        <f t="shared" si="27"/>
        <v>479.08</v>
      </c>
      <c r="K75" s="33">
        <f t="shared" si="24"/>
        <v>285.05259999999998</v>
      </c>
    </row>
    <row r="76" spans="1:11" s="39" customFormat="1" ht="30" x14ac:dyDescent="0.2">
      <c r="A76" s="140" t="s">
        <v>391</v>
      </c>
      <c r="B76" s="93" t="s">
        <v>408</v>
      </c>
      <c r="C76" s="147" t="s">
        <v>41</v>
      </c>
      <c r="D76" s="30" t="s">
        <v>313</v>
      </c>
      <c r="E76" s="33">
        <f>(1.5*0.85*2)</f>
        <v>2.5499999999999998</v>
      </c>
      <c r="F76" s="33">
        <v>441.88</v>
      </c>
      <c r="G76" s="33">
        <v>37.200000000000003</v>
      </c>
      <c r="H76" s="33">
        <f t="shared" si="25"/>
        <v>1126.7939999999999</v>
      </c>
      <c r="I76" s="33">
        <f t="shared" si="26"/>
        <v>94.86</v>
      </c>
      <c r="J76" s="33">
        <f t="shared" si="27"/>
        <v>479.08</v>
      </c>
      <c r="K76" s="33">
        <f t="shared" si="24"/>
        <v>1221.6539999999998</v>
      </c>
    </row>
    <row r="77" spans="1:11" s="39" customFormat="1" ht="45" x14ac:dyDescent="0.2">
      <c r="A77" s="143" t="s">
        <v>392</v>
      </c>
      <c r="B77" s="98" t="s">
        <v>409</v>
      </c>
      <c r="C77" s="144" t="s">
        <v>41</v>
      </c>
      <c r="D77" s="120" t="s">
        <v>313</v>
      </c>
      <c r="E77" s="121">
        <v>1.7</v>
      </c>
      <c r="F77" s="121">
        <v>441.88</v>
      </c>
      <c r="G77" s="121">
        <v>37.200000000000003</v>
      </c>
      <c r="H77" s="121">
        <f t="shared" si="25"/>
        <v>751.19600000000003</v>
      </c>
      <c r="I77" s="121">
        <f t="shared" si="26"/>
        <v>63.24</v>
      </c>
      <c r="J77" s="121">
        <f t="shared" si="27"/>
        <v>479.08</v>
      </c>
      <c r="K77" s="121">
        <f t="shared" si="24"/>
        <v>814.43599999999992</v>
      </c>
    </row>
    <row r="78" spans="1:11" s="39" customFormat="1" ht="15.75" x14ac:dyDescent="0.25">
      <c r="A78" s="128"/>
      <c r="B78" s="48" t="s">
        <v>61</v>
      </c>
      <c r="C78" s="271"/>
      <c r="D78" s="271"/>
      <c r="E78" s="271"/>
      <c r="F78" s="271"/>
      <c r="G78" s="271"/>
      <c r="H78" s="271"/>
      <c r="I78" s="271"/>
      <c r="J78" s="271"/>
      <c r="K78" s="67">
        <f>SUM(K71:K77)</f>
        <v>18825.753099999998</v>
      </c>
    </row>
    <row r="79" spans="1:11" s="39" customFormat="1" ht="15.75" x14ac:dyDescent="0.25">
      <c r="A79" s="129">
        <v>9</v>
      </c>
      <c r="B79" s="57" t="s">
        <v>133</v>
      </c>
      <c r="C79" s="147"/>
      <c r="D79" s="147"/>
      <c r="E79" s="147"/>
      <c r="F79" s="147"/>
      <c r="G79" s="147"/>
      <c r="H79" s="147"/>
      <c r="I79" s="147"/>
      <c r="J79" s="147"/>
      <c r="K79" s="67"/>
    </row>
    <row r="80" spans="1:11" s="39" customFormat="1" x14ac:dyDescent="0.2">
      <c r="A80" s="128" t="s">
        <v>12</v>
      </c>
      <c r="B80" s="97" t="s">
        <v>410</v>
      </c>
      <c r="C80" s="147" t="s">
        <v>41</v>
      </c>
      <c r="D80" s="30" t="s">
        <v>37</v>
      </c>
      <c r="E80" s="147">
        <f>(2.17*6)+(1.05*2)+0.56+0.45+1.42</f>
        <v>17.549999999999997</v>
      </c>
      <c r="F80" s="52">
        <v>48.63</v>
      </c>
      <c r="G80" s="52">
        <v>15.07</v>
      </c>
      <c r="H80" s="33">
        <f t="shared" ref="H80" si="28">E80*F80</f>
        <v>853.45649999999989</v>
      </c>
      <c r="I80" s="33">
        <f t="shared" ref="I80" si="29">E80*G80</f>
        <v>264.47849999999994</v>
      </c>
      <c r="J80" s="33">
        <f t="shared" ref="J80" si="30">F80+G80</f>
        <v>63.7</v>
      </c>
      <c r="K80" s="33">
        <f t="shared" ref="K80" si="31">J80*E80</f>
        <v>1117.9349999999999</v>
      </c>
    </row>
    <row r="81" spans="1:11" s="39" customFormat="1" ht="15.75" x14ac:dyDescent="0.25">
      <c r="A81" s="129"/>
      <c r="B81" s="48" t="s">
        <v>61</v>
      </c>
      <c r="C81" s="147"/>
      <c r="D81" s="147"/>
      <c r="E81" s="69"/>
      <c r="F81" s="147"/>
      <c r="G81" s="147"/>
      <c r="H81" s="147"/>
      <c r="I81" s="147"/>
      <c r="J81" s="147"/>
      <c r="K81" s="67">
        <f>SUM(K80)</f>
        <v>1117.9349999999999</v>
      </c>
    </row>
    <row r="82" spans="1:11" s="39" customFormat="1" ht="15.75" x14ac:dyDescent="0.25">
      <c r="A82" s="129">
        <v>10</v>
      </c>
      <c r="B82" s="57" t="s">
        <v>134</v>
      </c>
      <c r="C82" s="147"/>
      <c r="D82" s="147"/>
      <c r="E82" s="147"/>
      <c r="F82" s="147"/>
      <c r="G82" s="147"/>
      <c r="H82" s="147"/>
      <c r="I82" s="147"/>
      <c r="J82" s="147"/>
      <c r="K82" s="67"/>
    </row>
    <row r="83" spans="1:11" s="39" customFormat="1" ht="15.75" x14ac:dyDescent="0.25">
      <c r="A83" s="128"/>
      <c r="B83" s="48" t="s">
        <v>61</v>
      </c>
      <c r="C83" s="147"/>
      <c r="D83" s="147"/>
      <c r="E83" s="147"/>
      <c r="F83" s="147"/>
      <c r="G83" s="147"/>
      <c r="H83" s="147"/>
      <c r="I83" s="147"/>
      <c r="J83" s="147"/>
      <c r="K83" s="67"/>
    </row>
    <row r="84" spans="1:11" s="5" customFormat="1" ht="15.75" x14ac:dyDescent="0.25">
      <c r="A84" s="129">
        <v>11</v>
      </c>
      <c r="B84" s="54" t="s">
        <v>13</v>
      </c>
      <c r="C84" s="55"/>
      <c r="D84" s="55"/>
      <c r="E84" s="55"/>
      <c r="F84" s="55"/>
      <c r="G84" s="55"/>
      <c r="H84" s="55"/>
      <c r="I84" s="55"/>
      <c r="J84" s="55"/>
      <c r="K84" s="56"/>
    </row>
    <row r="85" spans="1:11" s="39" customFormat="1" ht="30" x14ac:dyDescent="0.2">
      <c r="A85" s="128" t="s">
        <v>177</v>
      </c>
      <c r="B85" s="35" t="s">
        <v>115</v>
      </c>
      <c r="C85" s="147" t="s">
        <v>41</v>
      </c>
      <c r="D85" s="30" t="s">
        <v>37</v>
      </c>
      <c r="E85" s="33">
        <f>(2.06*2)+(4.06*0.2*4)+(4.06*0.18*2)+(3.24*2)</f>
        <v>15.3096</v>
      </c>
      <c r="F85" s="28">
        <v>19.68</v>
      </c>
      <c r="G85" s="28">
        <v>4.49</v>
      </c>
      <c r="H85" s="33">
        <f>E85*F85</f>
        <v>301.29292799999996</v>
      </c>
      <c r="I85" s="33">
        <f>E85*G85</f>
        <v>68.740104000000002</v>
      </c>
      <c r="J85" s="33">
        <f>F85+G85</f>
        <v>24.17</v>
      </c>
      <c r="K85" s="33">
        <f t="shared" ref="K85:K87" si="32">J85*E85</f>
        <v>370.03303199999999</v>
      </c>
    </row>
    <row r="86" spans="1:11" s="39" customFormat="1" ht="15" customHeight="1" x14ac:dyDescent="0.2">
      <c r="A86" s="128" t="s">
        <v>178</v>
      </c>
      <c r="B86" s="35" t="s">
        <v>95</v>
      </c>
      <c r="C86" s="147" t="s">
        <v>41</v>
      </c>
      <c r="D86" s="30" t="s">
        <v>37</v>
      </c>
      <c r="E86" s="33">
        <v>112.66</v>
      </c>
      <c r="F86" s="28">
        <v>7.68</v>
      </c>
      <c r="G86" s="28">
        <v>4.38</v>
      </c>
      <c r="H86" s="33">
        <f>E86*F86</f>
        <v>865.22879999999998</v>
      </c>
      <c r="I86" s="33">
        <f>E86*G86</f>
        <v>493.45079999999996</v>
      </c>
      <c r="J86" s="33">
        <f>F86+G86</f>
        <v>12.059999999999999</v>
      </c>
      <c r="K86" s="33">
        <f t="shared" si="32"/>
        <v>1358.6795999999997</v>
      </c>
    </row>
    <row r="87" spans="1:11" s="39" customFormat="1" ht="30.75" customHeight="1" x14ac:dyDescent="0.2">
      <c r="A87" s="128" t="s">
        <v>320</v>
      </c>
      <c r="B87" s="118" t="s">
        <v>319</v>
      </c>
      <c r="C87" s="77" t="s">
        <v>41</v>
      </c>
      <c r="D87" s="36" t="s">
        <v>313</v>
      </c>
      <c r="E87" s="75">
        <v>29.1</v>
      </c>
      <c r="F87" s="119">
        <v>23.56</v>
      </c>
      <c r="G87" s="119">
        <v>4.46</v>
      </c>
      <c r="H87" s="75">
        <f>E87*F87</f>
        <v>685.596</v>
      </c>
      <c r="I87" s="75">
        <f>E87*G87</f>
        <v>129.786</v>
      </c>
      <c r="J87" s="75">
        <f>F87+G87</f>
        <v>28.02</v>
      </c>
      <c r="K87" s="75">
        <f t="shared" si="32"/>
        <v>815.38200000000006</v>
      </c>
    </row>
    <row r="88" spans="1:11" s="39" customFormat="1" ht="15" customHeight="1" x14ac:dyDescent="0.25">
      <c r="A88" s="128"/>
      <c r="B88" s="48" t="s">
        <v>61</v>
      </c>
      <c r="C88" s="147"/>
      <c r="D88" s="30"/>
      <c r="E88" s="33"/>
      <c r="F88" s="28"/>
      <c r="G88" s="28"/>
      <c r="H88" s="33"/>
      <c r="I88" s="33"/>
      <c r="J88" s="33"/>
      <c r="K88" s="67">
        <f>SUM(K85:K87)</f>
        <v>2544.0946319999998</v>
      </c>
    </row>
    <row r="89" spans="1:11" s="39" customFormat="1" ht="15" customHeight="1" x14ac:dyDescent="0.25">
      <c r="A89" s="129">
        <v>12</v>
      </c>
      <c r="B89" s="70" t="s">
        <v>135</v>
      </c>
      <c r="C89" s="147"/>
      <c r="D89" s="30"/>
      <c r="E89" s="33"/>
      <c r="F89" s="28"/>
      <c r="G89" s="28"/>
      <c r="H89" s="33"/>
      <c r="I89" s="33"/>
      <c r="J89" s="33"/>
      <c r="K89" s="33"/>
    </row>
    <row r="90" spans="1:11" s="39" customFormat="1" ht="15" customHeight="1" x14ac:dyDescent="0.25">
      <c r="A90" s="129"/>
      <c r="B90" s="48" t="s">
        <v>61</v>
      </c>
      <c r="C90" s="147"/>
      <c r="D90" s="30"/>
      <c r="E90" s="33"/>
      <c r="F90" s="28"/>
      <c r="G90" s="28"/>
      <c r="H90" s="33"/>
      <c r="I90" s="33"/>
      <c r="J90" s="33"/>
      <c r="K90" s="33"/>
    </row>
    <row r="91" spans="1:11" s="39" customFormat="1" ht="15" customHeight="1" x14ac:dyDescent="0.25">
      <c r="A91" s="129">
        <v>13</v>
      </c>
      <c r="B91" s="70" t="s">
        <v>93</v>
      </c>
      <c r="C91" s="147"/>
      <c r="D91" s="30"/>
      <c r="E91" s="33"/>
      <c r="F91" s="28"/>
      <c r="G91" s="28"/>
      <c r="H91" s="33"/>
      <c r="I91" s="33"/>
      <c r="J91" s="33"/>
      <c r="K91" s="33"/>
    </row>
    <row r="92" spans="1:11" s="39" customFormat="1" ht="15" customHeight="1" x14ac:dyDescent="0.2">
      <c r="A92" s="129" t="s">
        <v>14</v>
      </c>
      <c r="B92" s="71" t="s">
        <v>111</v>
      </c>
      <c r="C92" s="147" t="s">
        <v>41</v>
      </c>
      <c r="D92" s="30" t="s">
        <v>37</v>
      </c>
      <c r="E92" s="147">
        <f>91.38+5.04</f>
        <v>96.42</v>
      </c>
      <c r="F92" s="32">
        <v>47.16</v>
      </c>
      <c r="G92" s="32">
        <v>0</v>
      </c>
      <c r="H92" s="33">
        <f>E92*F92</f>
        <v>4547.1671999999999</v>
      </c>
      <c r="I92" s="33">
        <f>E92*G92</f>
        <v>0</v>
      </c>
      <c r="J92" s="33">
        <f>F92+G92</f>
        <v>47.16</v>
      </c>
      <c r="K92" s="33">
        <f t="shared" ref="K92" si="33">J92*E92</f>
        <v>4547.1671999999999</v>
      </c>
    </row>
    <row r="93" spans="1:11" s="39" customFormat="1" ht="15.75" x14ac:dyDescent="0.25">
      <c r="A93" s="128"/>
      <c r="B93" s="48" t="s">
        <v>61</v>
      </c>
      <c r="C93" s="271"/>
      <c r="D93" s="271"/>
      <c r="E93" s="271"/>
      <c r="F93" s="271"/>
      <c r="G93" s="271"/>
      <c r="H93" s="271"/>
      <c r="I93" s="271"/>
      <c r="J93" s="271"/>
      <c r="K93" s="49">
        <f>SUM(K92)</f>
        <v>4547.1671999999999</v>
      </c>
    </row>
    <row r="94" spans="1:11" s="5" customFormat="1" ht="15.75" x14ac:dyDescent="0.25">
      <c r="A94" s="129">
        <v>14</v>
      </c>
      <c r="B94" s="70" t="s">
        <v>136</v>
      </c>
      <c r="C94" s="55"/>
      <c r="D94" s="55"/>
      <c r="E94" s="55"/>
      <c r="F94" s="55"/>
      <c r="G94" s="55"/>
      <c r="H94" s="55"/>
      <c r="I94" s="55"/>
      <c r="J94" s="55"/>
      <c r="K94" s="56"/>
    </row>
    <row r="95" spans="1:11" s="39" customFormat="1" x14ac:dyDescent="0.2">
      <c r="A95" s="128" t="s">
        <v>224</v>
      </c>
      <c r="B95" s="72" t="s">
        <v>68</v>
      </c>
      <c r="C95" s="147" t="s">
        <v>41</v>
      </c>
      <c r="D95" s="30" t="s">
        <v>37</v>
      </c>
      <c r="E95" s="33">
        <f>E98+E220+55.92-E22</f>
        <v>401.26</v>
      </c>
      <c r="F95" s="33">
        <v>1.32</v>
      </c>
      <c r="G95" s="33">
        <v>2.4300000000000002</v>
      </c>
      <c r="H95" s="33">
        <f>E95*F95</f>
        <v>529.66319999999996</v>
      </c>
      <c r="I95" s="33">
        <f>E95*G95</f>
        <v>975.06180000000006</v>
      </c>
      <c r="J95" s="33">
        <f>F95+G95</f>
        <v>3.75</v>
      </c>
      <c r="K95" s="33">
        <f t="shared" ref="K95:K98" si="34">J95*E95</f>
        <v>1504.7249999999999</v>
      </c>
    </row>
    <row r="96" spans="1:11" s="39" customFormat="1" ht="30" x14ac:dyDescent="0.2">
      <c r="A96" s="128" t="s">
        <v>225</v>
      </c>
      <c r="B96" s="72" t="s">
        <v>437</v>
      </c>
      <c r="C96" s="147" t="s">
        <v>41</v>
      </c>
      <c r="D96" s="30" t="s">
        <v>37</v>
      </c>
      <c r="E96" s="33">
        <f>E220+55.92-E22</f>
        <v>126.57000000000001</v>
      </c>
      <c r="F96" s="33">
        <v>4.68</v>
      </c>
      <c r="G96" s="33">
        <v>9.1999999999999993</v>
      </c>
      <c r="H96" s="33">
        <f>E96*F96</f>
        <v>592.34759999999994</v>
      </c>
      <c r="I96" s="33">
        <f>E96*G96</f>
        <v>1164.444</v>
      </c>
      <c r="J96" s="33">
        <f>F96+G96</f>
        <v>13.879999999999999</v>
      </c>
      <c r="K96" s="33">
        <f t="shared" si="34"/>
        <v>1756.7916</v>
      </c>
    </row>
    <row r="97" spans="1:11" s="39" customFormat="1" x14ac:dyDescent="0.2">
      <c r="A97" s="128" t="s">
        <v>226</v>
      </c>
      <c r="B97" s="72" t="s">
        <v>94</v>
      </c>
      <c r="C97" s="147" t="s">
        <v>41</v>
      </c>
      <c r="D97" s="30" t="s">
        <v>37</v>
      </c>
      <c r="E97" s="33">
        <f>E98-E23</f>
        <v>228.59</v>
      </c>
      <c r="F97" s="33">
        <v>4.59</v>
      </c>
      <c r="G97" s="33">
        <v>7.21</v>
      </c>
      <c r="H97" s="33">
        <f>E97*F97</f>
        <v>1049.2281</v>
      </c>
      <c r="I97" s="33">
        <f>E97*G97</f>
        <v>1648.1339</v>
      </c>
      <c r="J97" s="33">
        <f>F97+G97</f>
        <v>11.8</v>
      </c>
      <c r="K97" s="33">
        <f t="shared" si="34"/>
        <v>2697.3620000000001</v>
      </c>
    </row>
    <row r="98" spans="1:11" s="39" customFormat="1" ht="45" x14ac:dyDescent="0.2">
      <c r="A98" s="128" t="s">
        <v>227</v>
      </c>
      <c r="B98" s="72" t="s">
        <v>436</v>
      </c>
      <c r="C98" s="77" t="s">
        <v>41</v>
      </c>
      <c r="D98" s="36" t="s">
        <v>38</v>
      </c>
      <c r="E98" s="75">
        <v>274.69</v>
      </c>
      <c r="F98" s="75">
        <f>(36.9572-32.28+38.9*1.15)</f>
        <v>49.412199999999991</v>
      </c>
      <c r="G98" s="75">
        <v>9.2036800000000003</v>
      </c>
      <c r="H98" s="75">
        <f>E98*F98</f>
        <v>13573.037217999998</v>
      </c>
      <c r="I98" s="75">
        <f>E98*G98</f>
        <v>2528.1588592000003</v>
      </c>
      <c r="J98" s="75">
        <f>F98+G98</f>
        <v>58.61587999999999</v>
      </c>
      <c r="K98" s="75">
        <f t="shared" si="34"/>
        <v>16101.196077199997</v>
      </c>
    </row>
    <row r="99" spans="1:11" s="39" customFormat="1" ht="30" x14ac:dyDescent="0.2">
      <c r="A99" s="130" t="s">
        <v>443</v>
      </c>
      <c r="B99" s="146" t="s">
        <v>444</v>
      </c>
      <c r="C99" s="144" t="s">
        <v>35</v>
      </c>
      <c r="D99" s="120" t="s">
        <v>37</v>
      </c>
      <c r="E99" s="121">
        <v>26.099999999999998</v>
      </c>
      <c r="F99" s="121">
        <v>3.3</v>
      </c>
      <c r="G99" s="121">
        <v>8.5399999999999991</v>
      </c>
      <c r="H99" s="121">
        <v>86.129999999999981</v>
      </c>
      <c r="I99" s="121">
        <v>222.89399999999995</v>
      </c>
      <c r="J99" s="121">
        <v>11.84</v>
      </c>
      <c r="K99" s="121">
        <v>309.02399999999994</v>
      </c>
    </row>
    <row r="100" spans="1:11" s="39" customFormat="1" ht="30" x14ac:dyDescent="0.2">
      <c r="A100" s="130" t="s">
        <v>445</v>
      </c>
      <c r="B100" s="146" t="s">
        <v>446</v>
      </c>
      <c r="C100" s="144" t="s">
        <v>35</v>
      </c>
      <c r="D100" s="120" t="s">
        <v>37</v>
      </c>
      <c r="E100" s="121">
        <v>2.9</v>
      </c>
      <c r="F100" s="121">
        <v>5.55</v>
      </c>
      <c r="G100" s="121">
        <v>8.5399999999999991</v>
      </c>
      <c r="H100" s="121">
        <v>16.094999999999999</v>
      </c>
      <c r="I100" s="121">
        <v>24.765999999999998</v>
      </c>
      <c r="J100" s="121">
        <v>14.09</v>
      </c>
      <c r="K100" s="121">
        <v>40.860999999999997</v>
      </c>
    </row>
    <row r="101" spans="1:11" s="39" customFormat="1" ht="15.75" x14ac:dyDescent="0.25">
      <c r="A101" s="128"/>
      <c r="B101" s="48" t="s">
        <v>61</v>
      </c>
      <c r="C101" s="271"/>
      <c r="D101" s="271"/>
      <c r="E101" s="271"/>
      <c r="F101" s="271"/>
      <c r="G101" s="271"/>
      <c r="H101" s="271"/>
      <c r="I101" s="271"/>
      <c r="J101" s="271"/>
      <c r="K101" s="49">
        <f>SUM(K95:K100)</f>
        <v>22409.9596772</v>
      </c>
    </row>
    <row r="102" spans="1:11" s="39" customFormat="1" ht="15.75" x14ac:dyDescent="0.25">
      <c r="A102" s="129">
        <v>15</v>
      </c>
      <c r="B102" s="73" t="s">
        <v>137</v>
      </c>
      <c r="C102" s="147"/>
      <c r="D102" s="147"/>
      <c r="E102" s="147"/>
      <c r="F102" s="147"/>
      <c r="G102" s="147"/>
      <c r="H102" s="147"/>
      <c r="I102" s="147"/>
      <c r="J102" s="147"/>
      <c r="K102" s="147"/>
    </row>
    <row r="103" spans="1:11" s="39" customFormat="1" ht="15.75" x14ac:dyDescent="0.25">
      <c r="A103" s="128"/>
      <c r="B103" s="48" t="s">
        <v>61</v>
      </c>
      <c r="C103" s="147"/>
      <c r="D103" s="147"/>
      <c r="E103" s="147"/>
      <c r="F103" s="147"/>
      <c r="G103" s="147"/>
      <c r="H103" s="147"/>
      <c r="I103" s="147"/>
      <c r="J103" s="147"/>
      <c r="K103" s="147"/>
    </row>
    <row r="104" spans="1:11" s="5" customFormat="1" ht="15.75" x14ac:dyDescent="0.25">
      <c r="A104" s="129">
        <v>16</v>
      </c>
      <c r="B104" s="54" t="s">
        <v>15</v>
      </c>
      <c r="C104" s="55"/>
      <c r="D104" s="55"/>
      <c r="E104" s="55"/>
      <c r="F104" s="55"/>
      <c r="G104" s="55"/>
      <c r="H104" s="55"/>
      <c r="I104" s="55"/>
      <c r="J104" s="55"/>
      <c r="K104" s="56"/>
    </row>
    <row r="105" spans="1:11" s="39" customFormat="1" ht="30" x14ac:dyDescent="0.2">
      <c r="A105" s="128" t="s">
        <v>138</v>
      </c>
      <c r="B105" s="58" t="s">
        <v>92</v>
      </c>
      <c r="C105" s="77" t="s">
        <v>41</v>
      </c>
      <c r="D105" s="36" t="s">
        <v>38</v>
      </c>
      <c r="E105" s="75">
        <f>134.62-5.04</f>
        <v>129.58000000000001</v>
      </c>
      <c r="F105" s="36">
        <f>(52.21779-40.0575+121*1.2)</f>
        <v>157.36028999999999</v>
      </c>
      <c r="G105" s="36">
        <v>20.479500000000002</v>
      </c>
      <c r="H105" s="75">
        <f t="shared" ref="H105:H108" si="35">E105*F105</f>
        <v>20390.746378200001</v>
      </c>
      <c r="I105" s="75">
        <f t="shared" ref="I105:I108" si="36">E105*G105</f>
        <v>2653.7336100000007</v>
      </c>
      <c r="J105" s="75">
        <f t="shared" ref="J105:J108" si="37">F105+G105</f>
        <v>177.83978999999999</v>
      </c>
      <c r="K105" s="75">
        <f t="shared" ref="K105:K113" si="38">J105*E105</f>
        <v>23044.479988200001</v>
      </c>
    </row>
    <row r="106" spans="1:11" s="39" customFormat="1" ht="30" x14ac:dyDescent="0.2">
      <c r="A106" s="128" t="s">
        <v>228</v>
      </c>
      <c r="B106" s="58" t="s">
        <v>91</v>
      </c>
      <c r="C106" s="77" t="s">
        <v>41</v>
      </c>
      <c r="D106" s="36" t="s">
        <v>38</v>
      </c>
      <c r="E106" s="75">
        <v>165.94</v>
      </c>
      <c r="F106" s="36">
        <f>( 3.66556-2.99745+9.5*1.2)</f>
        <v>12.068110000000001</v>
      </c>
      <c r="G106" s="36">
        <v>5.54312</v>
      </c>
      <c r="H106" s="75">
        <f t="shared" si="35"/>
        <v>2002.5821734000001</v>
      </c>
      <c r="I106" s="75">
        <f t="shared" si="36"/>
        <v>919.82533279999996</v>
      </c>
      <c r="J106" s="75">
        <f t="shared" si="37"/>
        <v>17.611229999999999</v>
      </c>
      <c r="K106" s="75">
        <f t="shared" si="38"/>
        <v>2922.4075061999997</v>
      </c>
    </row>
    <row r="107" spans="1:11" s="39" customFormat="1" x14ac:dyDescent="0.2">
      <c r="A107" s="128" t="s">
        <v>229</v>
      </c>
      <c r="B107" s="58" t="s">
        <v>186</v>
      </c>
      <c r="C107" s="147" t="s">
        <v>35</v>
      </c>
      <c r="D107" s="30" t="s">
        <v>37</v>
      </c>
      <c r="E107" s="95">
        <v>7.85</v>
      </c>
      <c r="F107" s="95">
        <v>81.680000000000007</v>
      </c>
      <c r="G107" s="95">
        <v>3.37</v>
      </c>
      <c r="H107" s="95">
        <f t="shared" si="35"/>
        <v>641.18799999999999</v>
      </c>
      <c r="I107" s="95">
        <f t="shared" si="36"/>
        <v>26.454499999999999</v>
      </c>
      <c r="J107" s="95">
        <f t="shared" si="37"/>
        <v>85.050000000000011</v>
      </c>
      <c r="K107" s="95">
        <f t="shared" si="38"/>
        <v>667.64250000000004</v>
      </c>
    </row>
    <row r="108" spans="1:11" s="39" customFormat="1" x14ac:dyDescent="0.2">
      <c r="A108" s="130" t="s">
        <v>411</v>
      </c>
      <c r="B108" s="98" t="s">
        <v>412</v>
      </c>
      <c r="C108" s="99" t="s">
        <v>35</v>
      </c>
      <c r="D108" s="94" t="s">
        <v>37</v>
      </c>
      <c r="E108" s="95">
        <v>24.55</v>
      </c>
      <c r="F108" s="96">
        <v>81.680000000000007</v>
      </c>
      <c r="G108" s="96">
        <v>3.37</v>
      </c>
      <c r="H108" s="95">
        <f t="shared" si="35"/>
        <v>2005.2440000000001</v>
      </c>
      <c r="I108" s="95">
        <f t="shared" si="36"/>
        <v>82.733500000000006</v>
      </c>
      <c r="J108" s="95">
        <f t="shared" si="37"/>
        <v>85.050000000000011</v>
      </c>
      <c r="K108" s="95">
        <f t="shared" si="38"/>
        <v>2087.9775000000004</v>
      </c>
    </row>
    <row r="109" spans="1:11" s="39" customFormat="1" ht="15" customHeight="1" x14ac:dyDescent="0.2">
      <c r="A109" s="129" t="s">
        <v>138</v>
      </c>
      <c r="B109" s="74" t="s">
        <v>96</v>
      </c>
      <c r="C109" s="147"/>
      <c r="D109" s="30"/>
      <c r="E109" s="75"/>
      <c r="F109" s="76"/>
      <c r="G109" s="76"/>
      <c r="H109" s="33"/>
      <c r="I109" s="33"/>
      <c r="J109" s="33"/>
      <c r="K109" s="33"/>
    </row>
    <row r="110" spans="1:11" s="39" customFormat="1" ht="15" customHeight="1" x14ac:dyDescent="0.2">
      <c r="A110" s="128" t="s">
        <v>307</v>
      </c>
      <c r="B110" s="68" t="s">
        <v>106</v>
      </c>
      <c r="C110" s="147" t="s">
        <v>41</v>
      </c>
      <c r="D110" s="30" t="s">
        <v>38</v>
      </c>
      <c r="E110" s="75">
        <f>E105</f>
        <v>129.58000000000001</v>
      </c>
      <c r="F110" s="33">
        <v>4.6677099999999996</v>
      </c>
      <c r="G110" s="33">
        <v>11.91474</v>
      </c>
      <c r="H110" s="33">
        <f t="shared" ref="H110:H113" si="39">E110*F110</f>
        <v>604.84186180000006</v>
      </c>
      <c r="I110" s="33">
        <f t="shared" ref="I110:I113" si="40">E110*G110</f>
        <v>1543.9120092000001</v>
      </c>
      <c r="J110" s="33">
        <f t="shared" ref="J110:J113" si="41">F110+G110</f>
        <v>16.582450000000001</v>
      </c>
      <c r="K110" s="33">
        <f t="shared" si="38"/>
        <v>2148.7538710000003</v>
      </c>
    </row>
    <row r="111" spans="1:11" s="39" customFormat="1" ht="15" customHeight="1" x14ac:dyDescent="0.2">
      <c r="A111" s="128" t="s">
        <v>308</v>
      </c>
      <c r="B111" s="68" t="s">
        <v>129</v>
      </c>
      <c r="C111" s="77" t="s">
        <v>41</v>
      </c>
      <c r="D111" s="36" t="s">
        <v>38</v>
      </c>
      <c r="E111" s="75">
        <v>91.38</v>
      </c>
      <c r="F111" s="78">
        <f>18.67*10/8</f>
        <v>23.337500000000002</v>
      </c>
      <c r="G111" s="78">
        <f>15.6*10/8</f>
        <v>19.5</v>
      </c>
      <c r="H111" s="33">
        <f t="shared" si="39"/>
        <v>2132.5807500000001</v>
      </c>
      <c r="I111" s="33">
        <f t="shared" si="40"/>
        <v>1781.9099999999999</v>
      </c>
      <c r="J111" s="33">
        <f t="shared" si="41"/>
        <v>42.837500000000006</v>
      </c>
      <c r="K111" s="33">
        <f t="shared" si="38"/>
        <v>3914.4907500000004</v>
      </c>
    </row>
    <row r="112" spans="1:11" s="39" customFormat="1" ht="31.5" customHeight="1" x14ac:dyDescent="0.2">
      <c r="A112" s="128" t="s">
        <v>309</v>
      </c>
      <c r="B112" s="62" t="s">
        <v>127</v>
      </c>
      <c r="C112" s="77" t="s">
        <v>41</v>
      </c>
      <c r="D112" s="36" t="s">
        <v>38</v>
      </c>
      <c r="E112" s="75">
        <v>43.24</v>
      </c>
      <c r="F112" s="117">
        <v>18.670000000000002</v>
      </c>
      <c r="G112" s="117">
        <v>15.6</v>
      </c>
      <c r="H112" s="75">
        <f t="shared" si="39"/>
        <v>807.2908000000001</v>
      </c>
      <c r="I112" s="75">
        <f t="shared" si="40"/>
        <v>674.54399999999998</v>
      </c>
      <c r="J112" s="75">
        <f t="shared" si="41"/>
        <v>34.270000000000003</v>
      </c>
      <c r="K112" s="75">
        <f t="shared" si="38"/>
        <v>1481.8348000000003</v>
      </c>
    </row>
    <row r="113" spans="1:11" s="39" customFormat="1" ht="15" customHeight="1" x14ac:dyDescent="0.2">
      <c r="A113" s="128" t="s">
        <v>310</v>
      </c>
      <c r="B113" s="47" t="s">
        <v>128</v>
      </c>
      <c r="C113" s="77" t="s">
        <v>40</v>
      </c>
      <c r="D113" s="30" t="s">
        <v>37</v>
      </c>
      <c r="E113" s="75">
        <f>44.24*0.12</f>
        <v>5.3087999999999997</v>
      </c>
      <c r="F113" s="28">
        <v>144.38</v>
      </c>
      <c r="G113" s="28">
        <v>22.44</v>
      </c>
      <c r="H113" s="33">
        <f t="shared" si="39"/>
        <v>766.48454399999991</v>
      </c>
      <c r="I113" s="33">
        <f t="shared" si="40"/>
        <v>119.12947200000001</v>
      </c>
      <c r="J113" s="33">
        <f t="shared" si="41"/>
        <v>166.82</v>
      </c>
      <c r="K113" s="33">
        <f t="shared" si="38"/>
        <v>885.61401599999988</v>
      </c>
    </row>
    <row r="114" spans="1:11" s="39" customFormat="1" ht="15.75" x14ac:dyDescent="0.25">
      <c r="A114" s="128"/>
      <c r="B114" s="48" t="s">
        <v>61</v>
      </c>
      <c r="C114" s="271"/>
      <c r="D114" s="271"/>
      <c r="E114" s="271"/>
      <c r="F114" s="271"/>
      <c r="G114" s="271"/>
      <c r="H114" s="271"/>
      <c r="I114" s="271"/>
      <c r="J114" s="271"/>
      <c r="K114" s="49">
        <f>SUM(K105:K113)</f>
        <v>37153.200931400002</v>
      </c>
    </row>
    <row r="115" spans="1:11" s="5" customFormat="1" ht="15.75" x14ac:dyDescent="0.25">
      <c r="A115" s="129">
        <v>17</v>
      </c>
      <c r="B115" s="79" t="s">
        <v>16</v>
      </c>
      <c r="C115" s="80"/>
      <c r="D115" s="80"/>
      <c r="E115" s="80"/>
      <c r="F115" s="80"/>
      <c r="G115" s="80"/>
      <c r="H115" s="80"/>
      <c r="I115" s="80"/>
      <c r="J115" s="80"/>
      <c r="K115" s="80"/>
    </row>
    <row r="116" spans="1:11" s="5" customFormat="1" ht="15.75" x14ac:dyDescent="0.25">
      <c r="A116" s="129" t="s">
        <v>139</v>
      </c>
      <c r="B116" s="74" t="s">
        <v>97</v>
      </c>
      <c r="C116" s="80"/>
      <c r="D116" s="80"/>
      <c r="E116" s="80"/>
      <c r="F116" s="80"/>
      <c r="G116" s="80"/>
      <c r="H116" s="80"/>
      <c r="I116" s="80"/>
      <c r="J116" s="80"/>
      <c r="K116" s="80"/>
    </row>
    <row r="117" spans="1:11" s="5" customFormat="1" ht="30" x14ac:dyDescent="0.25">
      <c r="A117" s="128" t="s">
        <v>230</v>
      </c>
      <c r="B117" s="62" t="s">
        <v>314</v>
      </c>
      <c r="C117" s="81" t="s">
        <v>89</v>
      </c>
      <c r="D117" s="36" t="s">
        <v>37</v>
      </c>
      <c r="E117" s="82">
        <v>8</v>
      </c>
      <c r="F117" s="75">
        <f>40.21*1.5</f>
        <v>60.314999999999998</v>
      </c>
      <c r="G117" s="75">
        <f>27.59*1.5</f>
        <v>41.384999999999998</v>
      </c>
      <c r="H117" s="75">
        <f>F117*E117</f>
        <v>482.52</v>
      </c>
      <c r="I117" s="75">
        <f>G117*E117</f>
        <v>331.08</v>
      </c>
      <c r="J117" s="75">
        <f>F117+G117</f>
        <v>101.69999999999999</v>
      </c>
      <c r="K117" s="75">
        <f t="shared" ref="K117:K145" si="42">J117*E117</f>
        <v>813.59999999999991</v>
      </c>
    </row>
    <row r="118" spans="1:11" s="5" customFormat="1" ht="15.75" x14ac:dyDescent="0.25">
      <c r="A118" s="128" t="s">
        <v>231</v>
      </c>
      <c r="B118" s="68" t="s">
        <v>102</v>
      </c>
      <c r="C118" s="83" t="s">
        <v>89</v>
      </c>
      <c r="D118" s="30" t="s">
        <v>37</v>
      </c>
      <c r="E118" s="52">
        <v>1</v>
      </c>
      <c r="F118" s="33">
        <v>12.04</v>
      </c>
      <c r="G118" s="33">
        <v>27.59</v>
      </c>
      <c r="H118" s="33">
        <f>F118*E118</f>
        <v>12.04</v>
      </c>
      <c r="I118" s="33">
        <f>G118*E118</f>
        <v>27.59</v>
      </c>
      <c r="J118" s="33">
        <f>F118+G118</f>
        <v>39.629999999999995</v>
      </c>
      <c r="K118" s="33">
        <f t="shared" si="42"/>
        <v>39.629999999999995</v>
      </c>
    </row>
    <row r="119" spans="1:11" s="5" customFormat="1" ht="15.75" x14ac:dyDescent="0.25">
      <c r="A119" s="128" t="s">
        <v>232</v>
      </c>
      <c r="B119" s="68" t="s">
        <v>90</v>
      </c>
      <c r="C119" s="83" t="s">
        <v>89</v>
      </c>
      <c r="D119" s="30" t="s">
        <v>37</v>
      </c>
      <c r="E119" s="52">
        <v>1</v>
      </c>
      <c r="F119" s="33">
        <v>12.04</v>
      </c>
      <c r="G119" s="33">
        <v>27.59</v>
      </c>
      <c r="H119" s="33">
        <f>F119*E119</f>
        <v>12.04</v>
      </c>
      <c r="I119" s="33">
        <f>G119*E119</f>
        <v>27.59</v>
      </c>
      <c r="J119" s="33">
        <f>F119+G119</f>
        <v>39.629999999999995</v>
      </c>
      <c r="K119" s="33">
        <f t="shared" si="42"/>
        <v>39.629999999999995</v>
      </c>
    </row>
    <row r="120" spans="1:11" s="5" customFormat="1" ht="15.75" x14ac:dyDescent="0.25">
      <c r="A120" s="128" t="s">
        <v>233</v>
      </c>
      <c r="B120" s="68" t="s">
        <v>103</v>
      </c>
      <c r="C120" s="83" t="s">
        <v>89</v>
      </c>
      <c r="D120" s="30" t="s">
        <v>38</v>
      </c>
      <c r="E120" s="52">
        <v>1</v>
      </c>
      <c r="F120" s="33">
        <v>4.68</v>
      </c>
      <c r="G120" s="33">
        <v>33.970440000000004</v>
      </c>
      <c r="H120" s="33">
        <f t="shared" ref="H120:H122" si="43">F120*E120</f>
        <v>4.68</v>
      </c>
      <c r="I120" s="33">
        <f t="shared" ref="I120:I122" si="44">G120*E120</f>
        <v>33.970440000000004</v>
      </c>
      <c r="J120" s="33">
        <f t="shared" ref="J120:J122" si="45">F120+G120</f>
        <v>38.650440000000003</v>
      </c>
      <c r="K120" s="33">
        <f t="shared" si="42"/>
        <v>38.650440000000003</v>
      </c>
    </row>
    <row r="121" spans="1:11" s="5" customFormat="1" ht="30" x14ac:dyDescent="0.25">
      <c r="A121" s="128" t="s">
        <v>234</v>
      </c>
      <c r="B121" s="62" t="s">
        <v>316</v>
      </c>
      <c r="C121" s="81" t="s">
        <v>89</v>
      </c>
      <c r="D121" s="36" t="s">
        <v>38</v>
      </c>
      <c r="E121" s="82">
        <v>3</v>
      </c>
      <c r="F121" s="75">
        <f>7.77*1.5</f>
        <v>11.654999999999999</v>
      </c>
      <c r="G121" s="75">
        <f>33.97044*1.5</f>
        <v>50.955660000000009</v>
      </c>
      <c r="H121" s="75">
        <f t="shared" si="43"/>
        <v>34.964999999999996</v>
      </c>
      <c r="I121" s="75">
        <f t="shared" si="44"/>
        <v>152.86698000000001</v>
      </c>
      <c r="J121" s="75">
        <f t="shared" si="45"/>
        <v>62.61066000000001</v>
      </c>
      <c r="K121" s="75">
        <f t="shared" si="42"/>
        <v>187.83198000000004</v>
      </c>
    </row>
    <row r="122" spans="1:11" s="5" customFormat="1" ht="15.75" x14ac:dyDescent="0.25">
      <c r="A122" s="128" t="s">
        <v>235</v>
      </c>
      <c r="B122" s="68" t="s">
        <v>104</v>
      </c>
      <c r="C122" s="83" t="s">
        <v>89</v>
      </c>
      <c r="D122" s="30" t="s">
        <v>38</v>
      </c>
      <c r="E122" s="52">
        <v>2</v>
      </c>
      <c r="F122" s="33">
        <v>7.77</v>
      </c>
      <c r="G122" s="33">
        <v>33.970440000000004</v>
      </c>
      <c r="H122" s="33">
        <f t="shared" si="43"/>
        <v>15.54</v>
      </c>
      <c r="I122" s="33">
        <f t="shared" si="44"/>
        <v>67.940880000000007</v>
      </c>
      <c r="J122" s="33">
        <f t="shared" si="45"/>
        <v>41.740440000000007</v>
      </c>
      <c r="K122" s="33">
        <f t="shared" si="42"/>
        <v>83.480880000000013</v>
      </c>
    </row>
    <row r="123" spans="1:11" s="5" customFormat="1" ht="15.75" x14ac:dyDescent="0.25">
      <c r="A123" s="128" t="s">
        <v>236</v>
      </c>
      <c r="B123" s="97" t="s">
        <v>413</v>
      </c>
      <c r="C123" s="83" t="s">
        <v>35</v>
      </c>
      <c r="D123" s="30" t="s">
        <v>38</v>
      </c>
      <c r="E123" s="52">
        <v>38.89</v>
      </c>
      <c r="F123" s="33">
        <v>4.49</v>
      </c>
      <c r="G123" s="33">
        <v>19.41168</v>
      </c>
      <c r="H123" s="33">
        <f>F123*E123</f>
        <v>174.61610000000002</v>
      </c>
      <c r="I123" s="33">
        <f>G123*E123</f>
        <v>754.92023519999998</v>
      </c>
      <c r="J123" s="33">
        <f>F123+G123</f>
        <v>23.901679999999999</v>
      </c>
      <c r="K123" s="33">
        <f t="shared" si="42"/>
        <v>929.53633519999994</v>
      </c>
    </row>
    <row r="124" spans="1:11" s="5" customFormat="1" ht="15.75" x14ac:dyDescent="0.25">
      <c r="A124" s="128" t="s">
        <v>237</v>
      </c>
      <c r="B124" s="97" t="s">
        <v>414</v>
      </c>
      <c r="C124" s="83" t="s">
        <v>35</v>
      </c>
      <c r="D124" s="30" t="s">
        <v>38</v>
      </c>
      <c r="E124" s="52">
        <v>33.659999999999997</v>
      </c>
      <c r="F124" s="33">
        <v>7.75</v>
      </c>
      <c r="G124" s="33">
        <v>19.41168</v>
      </c>
      <c r="H124" s="33">
        <f t="shared" ref="H124:H133" si="46">F124*E124</f>
        <v>260.86499999999995</v>
      </c>
      <c r="I124" s="33">
        <f t="shared" ref="I124:I133" si="47">G124*E124</f>
        <v>653.39714879999997</v>
      </c>
      <c r="J124" s="33">
        <f t="shared" ref="J124:J133" si="48">F124+G124</f>
        <v>27.16168</v>
      </c>
      <c r="K124" s="33">
        <f t="shared" si="42"/>
        <v>914.26214879999998</v>
      </c>
    </row>
    <row r="125" spans="1:11" s="5" customFormat="1" ht="15.75" x14ac:dyDescent="0.25">
      <c r="A125" s="128" t="s">
        <v>238</v>
      </c>
      <c r="B125" s="97" t="s">
        <v>415</v>
      </c>
      <c r="C125" s="83" t="s">
        <v>35</v>
      </c>
      <c r="D125" s="30" t="s">
        <v>38</v>
      </c>
      <c r="E125" s="52">
        <v>18.09</v>
      </c>
      <c r="F125" s="33">
        <v>10.234999999999999</v>
      </c>
      <c r="G125" s="33">
        <v>21.838139999999999</v>
      </c>
      <c r="H125" s="33">
        <f t="shared" si="46"/>
        <v>185.15115</v>
      </c>
      <c r="I125" s="33">
        <f t="shared" si="47"/>
        <v>395.05195259999999</v>
      </c>
      <c r="J125" s="33">
        <f t="shared" si="48"/>
        <v>32.073139999999995</v>
      </c>
      <c r="K125" s="33">
        <f t="shared" si="42"/>
        <v>580.20310259999985</v>
      </c>
    </row>
    <row r="126" spans="1:11" s="5" customFormat="1" ht="15.75" x14ac:dyDescent="0.25">
      <c r="A126" s="128" t="s">
        <v>239</v>
      </c>
      <c r="B126" s="97" t="s">
        <v>416</v>
      </c>
      <c r="C126" s="83" t="s">
        <v>35</v>
      </c>
      <c r="D126" s="30" t="s">
        <v>38</v>
      </c>
      <c r="E126" s="52">
        <v>29.45</v>
      </c>
      <c r="F126" s="33">
        <v>11.79</v>
      </c>
      <c r="G126" s="33">
        <v>24.264600000000002</v>
      </c>
      <c r="H126" s="33">
        <f t="shared" si="46"/>
        <v>347.21549999999996</v>
      </c>
      <c r="I126" s="33">
        <f t="shared" si="47"/>
        <v>714.59247000000005</v>
      </c>
      <c r="J126" s="33">
        <f t="shared" si="48"/>
        <v>36.054600000000001</v>
      </c>
      <c r="K126" s="33">
        <f t="shared" si="42"/>
        <v>1061.8079700000001</v>
      </c>
    </row>
    <row r="127" spans="1:11" s="5" customFormat="1" ht="15.75" x14ac:dyDescent="0.25">
      <c r="A127" s="128" t="s">
        <v>240</v>
      </c>
      <c r="B127" s="97" t="s">
        <v>417</v>
      </c>
      <c r="C127" s="83" t="s">
        <v>35</v>
      </c>
      <c r="D127" s="30" t="s">
        <v>38</v>
      </c>
      <c r="E127" s="52">
        <v>1.24</v>
      </c>
      <c r="F127" s="33">
        <v>5.4437300000000004</v>
      </c>
      <c r="G127" s="33">
        <v>19.41168</v>
      </c>
      <c r="H127" s="33">
        <f t="shared" si="46"/>
        <v>6.7502252</v>
      </c>
      <c r="I127" s="33">
        <f t="shared" si="47"/>
        <v>24.070483200000002</v>
      </c>
      <c r="J127" s="33">
        <f t="shared" si="48"/>
        <v>24.855409999999999</v>
      </c>
      <c r="K127" s="33">
        <f t="shared" si="42"/>
        <v>30.820708399999997</v>
      </c>
    </row>
    <row r="128" spans="1:11" s="5" customFormat="1" ht="15.75" x14ac:dyDescent="0.25">
      <c r="A128" s="128" t="s">
        <v>241</v>
      </c>
      <c r="B128" s="97" t="s">
        <v>418</v>
      </c>
      <c r="C128" s="83" t="s">
        <v>35</v>
      </c>
      <c r="D128" s="30" t="s">
        <v>38</v>
      </c>
      <c r="E128" s="52">
        <v>28.49</v>
      </c>
      <c r="F128" s="33">
        <v>7.2355700000000001</v>
      </c>
      <c r="G128" s="33">
        <v>19.41168</v>
      </c>
      <c r="H128" s="33">
        <f t="shared" si="46"/>
        <v>206.14138929999999</v>
      </c>
      <c r="I128" s="33">
        <f t="shared" si="47"/>
        <v>553.03876319999995</v>
      </c>
      <c r="J128" s="33">
        <f t="shared" si="48"/>
        <v>26.64725</v>
      </c>
      <c r="K128" s="33">
        <f t="shared" si="42"/>
        <v>759.18015249999996</v>
      </c>
    </row>
    <row r="129" spans="1:11" s="5" customFormat="1" ht="15.75" x14ac:dyDescent="0.25">
      <c r="A129" s="128" t="s">
        <v>242</v>
      </c>
      <c r="B129" s="97" t="s">
        <v>419</v>
      </c>
      <c r="C129" s="83" t="s">
        <v>35</v>
      </c>
      <c r="D129" s="30" t="s">
        <v>38</v>
      </c>
      <c r="E129" s="52">
        <v>1.78</v>
      </c>
      <c r="F129" s="33">
        <v>9.0687099999999994</v>
      </c>
      <c r="G129" s="33">
        <v>21.838139999999999</v>
      </c>
      <c r="H129" s="33">
        <f t="shared" si="46"/>
        <v>16.142303800000001</v>
      </c>
      <c r="I129" s="33">
        <f t="shared" si="47"/>
        <v>38.871889199999998</v>
      </c>
      <c r="J129" s="33">
        <f t="shared" si="48"/>
        <v>30.906849999999999</v>
      </c>
      <c r="K129" s="33">
        <f t="shared" si="42"/>
        <v>55.014192999999999</v>
      </c>
    </row>
    <row r="130" spans="1:11" s="5" customFormat="1" ht="15.75" x14ac:dyDescent="0.25">
      <c r="A130" s="128" t="s">
        <v>243</v>
      </c>
      <c r="B130" s="97" t="s">
        <v>420</v>
      </c>
      <c r="C130" s="83" t="s">
        <v>35</v>
      </c>
      <c r="D130" s="30" t="s">
        <v>38</v>
      </c>
      <c r="E130" s="52">
        <v>22.44</v>
      </c>
      <c r="F130" s="33">
        <v>14.59727</v>
      </c>
      <c r="G130" s="33">
        <v>26.573399999999999</v>
      </c>
      <c r="H130" s="33">
        <f t="shared" si="46"/>
        <v>327.56273880000003</v>
      </c>
      <c r="I130" s="33">
        <f t="shared" si="47"/>
        <v>596.307096</v>
      </c>
      <c r="J130" s="33">
        <f t="shared" si="48"/>
        <v>41.170670000000001</v>
      </c>
      <c r="K130" s="33">
        <f t="shared" si="42"/>
        <v>923.86983480000004</v>
      </c>
    </row>
    <row r="131" spans="1:11" s="5" customFormat="1" ht="15.75" x14ac:dyDescent="0.25">
      <c r="A131" s="128" t="s">
        <v>244</v>
      </c>
      <c r="B131" s="97" t="s">
        <v>421</v>
      </c>
      <c r="C131" s="83" t="s">
        <v>35</v>
      </c>
      <c r="D131" s="30" t="s">
        <v>38</v>
      </c>
      <c r="E131" s="52">
        <v>8.06</v>
      </c>
      <c r="F131" s="33">
        <v>30.370519999999999</v>
      </c>
      <c r="G131" s="33">
        <v>31.888079999999999</v>
      </c>
      <c r="H131" s="33">
        <f t="shared" si="46"/>
        <v>244.7863912</v>
      </c>
      <c r="I131" s="33">
        <f t="shared" si="47"/>
        <v>257.0179248</v>
      </c>
      <c r="J131" s="33">
        <f t="shared" si="48"/>
        <v>62.258600000000001</v>
      </c>
      <c r="K131" s="33">
        <f t="shared" si="42"/>
        <v>501.80431600000003</v>
      </c>
    </row>
    <row r="132" spans="1:11" s="5" customFormat="1" ht="30" x14ac:dyDescent="0.25">
      <c r="A132" s="128" t="s">
        <v>315</v>
      </c>
      <c r="B132" s="62" t="s">
        <v>317</v>
      </c>
      <c r="C132" s="81" t="s">
        <v>89</v>
      </c>
      <c r="D132" s="36" t="s">
        <v>313</v>
      </c>
      <c r="E132" s="82">
        <v>1</v>
      </c>
      <c r="F132" s="75">
        <v>50</v>
      </c>
      <c r="G132" s="75">
        <v>13.4</v>
      </c>
      <c r="H132" s="75">
        <f t="shared" si="46"/>
        <v>50</v>
      </c>
      <c r="I132" s="75">
        <f t="shared" si="47"/>
        <v>13.4</v>
      </c>
      <c r="J132" s="75">
        <f t="shared" si="48"/>
        <v>63.4</v>
      </c>
      <c r="K132" s="75">
        <f t="shared" si="42"/>
        <v>63.4</v>
      </c>
    </row>
    <row r="133" spans="1:11" s="5" customFormat="1" ht="15.75" x14ac:dyDescent="0.25">
      <c r="A133" s="128" t="s">
        <v>318</v>
      </c>
      <c r="B133" s="68" t="s">
        <v>312</v>
      </c>
      <c r="C133" s="83" t="s">
        <v>89</v>
      </c>
      <c r="D133" s="30" t="s">
        <v>313</v>
      </c>
      <c r="E133" s="52">
        <v>3</v>
      </c>
      <c r="F133" s="33">
        <v>176.55</v>
      </c>
      <c r="G133" s="33">
        <v>209.86</v>
      </c>
      <c r="H133" s="33">
        <f t="shared" si="46"/>
        <v>529.65000000000009</v>
      </c>
      <c r="I133" s="33">
        <f t="shared" si="47"/>
        <v>629.58000000000004</v>
      </c>
      <c r="J133" s="33">
        <f t="shared" si="48"/>
        <v>386.41</v>
      </c>
      <c r="K133" s="33">
        <f t="shared" si="42"/>
        <v>1159.23</v>
      </c>
    </row>
    <row r="134" spans="1:11" s="39" customFormat="1" ht="15.75" x14ac:dyDescent="0.2">
      <c r="A134" s="129" t="s">
        <v>140</v>
      </c>
      <c r="B134" s="74" t="s">
        <v>98</v>
      </c>
      <c r="C134" s="147"/>
      <c r="D134" s="30"/>
      <c r="E134" s="33"/>
      <c r="F134" s="33"/>
      <c r="G134" s="33"/>
      <c r="H134" s="33"/>
      <c r="I134" s="33"/>
      <c r="J134" s="33"/>
      <c r="K134" s="33"/>
    </row>
    <row r="135" spans="1:11" s="39" customFormat="1" x14ac:dyDescent="0.2">
      <c r="A135" s="128" t="s">
        <v>245</v>
      </c>
      <c r="B135" s="98" t="s">
        <v>422</v>
      </c>
      <c r="C135" s="83" t="s">
        <v>35</v>
      </c>
      <c r="D135" s="30" t="s">
        <v>38</v>
      </c>
      <c r="E135" s="33">
        <v>121.19</v>
      </c>
      <c r="F135" s="33">
        <v>3.0963099999999999</v>
      </c>
      <c r="G135" s="33">
        <v>9.7058400000000002</v>
      </c>
      <c r="H135" s="33">
        <f>F135*E135</f>
        <v>375.24180889999997</v>
      </c>
      <c r="I135" s="33">
        <f>G135*E135</f>
        <v>1176.2507496000001</v>
      </c>
      <c r="J135" s="33">
        <f>F135+G135</f>
        <v>12.802150000000001</v>
      </c>
      <c r="K135" s="33">
        <f t="shared" si="42"/>
        <v>1551.4925585000001</v>
      </c>
    </row>
    <row r="136" spans="1:11" s="39" customFormat="1" x14ac:dyDescent="0.2">
      <c r="A136" s="128" t="s">
        <v>246</v>
      </c>
      <c r="B136" s="98" t="s">
        <v>423</v>
      </c>
      <c r="C136" s="83" t="s">
        <v>35</v>
      </c>
      <c r="D136" s="30" t="s">
        <v>38</v>
      </c>
      <c r="E136" s="33">
        <v>7.17</v>
      </c>
      <c r="F136" s="33">
        <v>6.1840999999999999</v>
      </c>
      <c r="G136" s="33">
        <v>10.91907</v>
      </c>
      <c r="H136" s="33">
        <f t="shared" ref="H136:H141" si="49">F136*E136</f>
        <v>44.339996999999997</v>
      </c>
      <c r="I136" s="33">
        <f t="shared" ref="I136:I141" si="50">G136*E136</f>
        <v>78.289731899999992</v>
      </c>
      <c r="J136" s="33">
        <f t="shared" ref="J136:J141" si="51">F136+G136</f>
        <v>17.103169999999999</v>
      </c>
      <c r="K136" s="33">
        <f t="shared" si="42"/>
        <v>122.62972889999999</v>
      </c>
    </row>
    <row r="137" spans="1:11" s="39" customFormat="1" x14ac:dyDescent="0.2">
      <c r="A137" s="128" t="s">
        <v>247</v>
      </c>
      <c r="B137" s="98" t="s">
        <v>424</v>
      </c>
      <c r="C137" s="83" t="s">
        <v>35</v>
      </c>
      <c r="D137" s="30" t="s">
        <v>38</v>
      </c>
      <c r="E137" s="33">
        <v>23.01</v>
      </c>
      <c r="F137" s="33">
        <v>8.8654200000000003</v>
      </c>
      <c r="G137" s="33">
        <v>12.132300000000001</v>
      </c>
      <c r="H137" s="33">
        <f t="shared" si="49"/>
        <v>203.99331420000001</v>
      </c>
      <c r="I137" s="33">
        <f t="shared" si="50"/>
        <v>279.16422300000005</v>
      </c>
      <c r="J137" s="33">
        <f t="shared" si="51"/>
        <v>20.997720000000001</v>
      </c>
      <c r="K137" s="33">
        <f t="shared" si="42"/>
        <v>483.15753720000004</v>
      </c>
    </row>
    <row r="138" spans="1:11" s="39" customFormat="1" x14ac:dyDescent="0.2">
      <c r="A138" s="128" t="s">
        <v>248</v>
      </c>
      <c r="B138" s="98" t="s">
        <v>425</v>
      </c>
      <c r="C138" s="83" t="s">
        <v>35</v>
      </c>
      <c r="D138" s="30" t="s">
        <v>38</v>
      </c>
      <c r="E138" s="33">
        <v>20.63</v>
      </c>
      <c r="F138" s="33">
        <v>10.39057</v>
      </c>
      <c r="G138" s="33">
        <v>14.558759999999999</v>
      </c>
      <c r="H138" s="33">
        <f t="shared" si="49"/>
        <v>214.3574591</v>
      </c>
      <c r="I138" s="33">
        <f t="shared" si="50"/>
        <v>300.34721879999995</v>
      </c>
      <c r="J138" s="33">
        <f t="shared" si="51"/>
        <v>24.94933</v>
      </c>
      <c r="K138" s="33">
        <f t="shared" si="42"/>
        <v>514.70467789999998</v>
      </c>
    </row>
    <row r="139" spans="1:11" s="39" customFormat="1" x14ac:dyDescent="0.2">
      <c r="A139" s="128" t="s">
        <v>249</v>
      </c>
      <c r="B139" s="58" t="s">
        <v>99</v>
      </c>
      <c r="C139" s="83" t="s">
        <v>89</v>
      </c>
      <c r="D139" s="30" t="s">
        <v>37</v>
      </c>
      <c r="E139" s="33">
        <v>2</v>
      </c>
      <c r="F139" s="33">
        <v>51.64</v>
      </c>
      <c r="G139" s="33">
        <v>11.51</v>
      </c>
      <c r="H139" s="33">
        <f t="shared" si="49"/>
        <v>103.28</v>
      </c>
      <c r="I139" s="33">
        <f t="shared" si="50"/>
        <v>23.02</v>
      </c>
      <c r="J139" s="33">
        <f t="shared" si="51"/>
        <v>63.15</v>
      </c>
      <c r="K139" s="33">
        <f t="shared" si="42"/>
        <v>126.3</v>
      </c>
    </row>
    <row r="140" spans="1:11" s="39" customFormat="1" x14ac:dyDescent="0.2">
      <c r="A140" s="128" t="s">
        <v>250</v>
      </c>
      <c r="B140" s="58" t="s">
        <v>100</v>
      </c>
      <c r="C140" s="83" t="s">
        <v>89</v>
      </c>
      <c r="D140" s="30" t="s">
        <v>38</v>
      </c>
      <c r="E140" s="33">
        <v>18</v>
      </c>
      <c r="F140" s="33">
        <v>52.219560000000001</v>
      </c>
      <c r="G140" s="33">
        <v>14.801399999999999</v>
      </c>
      <c r="H140" s="33">
        <f t="shared" si="49"/>
        <v>939.95208000000002</v>
      </c>
      <c r="I140" s="33">
        <f t="shared" si="50"/>
        <v>266.42519999999996</v>
      </c>
      <c r="J140" s="33">
        <f t="shared" si="51"/>
        <v>67.020960000000002</v>
      </c>
      <c r="K140" s="33">
        <f t="shared" si="42"/>
        <v>1206.3772800000002</v>
      </c>
    </row>
    <row r="141" spans="1:11" s="39" customFormat="1" x14ac:dyDescent="0.2">
      <c r="A141" s="128" t="s">
        <v>251</v>
      </c>
      <c r="B141" s="58" t="s">
        <v>101</v>
      </c>
      <c r="C141" s="83" t="s">
        <v>89</v>
      </c>
      <c r="D141" s="30" t="s">
        <v>38</v>
      </c>
      <c r="E141" s="33">
        <v>2</v>
      </c>
      <c r="F141" s="33">
        <v>55.167499999999997</v>
      </c>
      <c r="G141" s="33">
        <v>20.62491</v>
      </c>
      <c r="H141" s="33">
        <f t="shared" si="49"/>
        <v>110.33499999999999</v>
      </c>
      <c r="I141" s="33">
        <f t="shared" si="50"/>
        <v>41.24982</v>
      </c>
      <c r="J141" s="33">
        <f t="shared" si="51"/>
        <v>75.79240999999999</v>
      </c>
      <c r="K141" s="33">
        <f t="shared" si="42"/>
        <v>151.58481999999998</v>
      </c>
    </row>
    <row r="142" spans="1:11" s="39" customFormat="1" ht="15.75" x14ac:dyDescent="0.2">
      <c r="A142" s="129" t="s">
        <v>141</v>
      </c>
      <c r="B142" s="74" t="s">
        <v>144</v>
      </c>
      <c r="C142" s="84"/>
      <c r="D142" s="30"/>
      <c r="E142" s="33"/>
      <c r="F142" s="33"/>
      <c r="G142" s="33"/>
      <c r="H142" s="33"/>
      <c r="I142" s="33"/>
      <c r="J142" s="33"/>
      <c r="K142" s="33"/>
    </row>
    <row r="143" spans="1:11" s="39" customFormat="1" x14ac:dyDescent="0.2">
      <c r="A143" s="128" t="s">
        <v>252</v>
      </c>
      <c r="B143" s="58" t="s">
        <v>107</v>
      </c>
      <c r="C143" s="29" t="s">
        <v>3</v>
      </c>
      <c r="D143" s="30" t="s">
        <v>37</v>
      </c>
      <c r="E143" s="33">
        <v>1</v>
      </c>
      <c r="F143" s="33">
        <v>122.8</v>
      </c>
      <c r="G143" s="33">
        <v>11.71</v>
      </c>
      <c r="H143" s="33">
        <f>F143*E143</f>
        <v>122.8</v>
      </c>
      <c r="I143" s="33">
        <f>G143*E143</f>
        <v>11.71</v>
      </c>
      <c r="J143" s="33">
        <f>F143+G143</f>
        <v>134.51</v>
      </c>
      <c r="K143" s="33">
        <f t="shared" si="42"/>
        <v>134.51</v>
      </c>
    </row>
    <row r="144" spans="1:11" s="39" customFormat="1" x14ac:dyDescent="0.2">
      <c r="A144" s="128" t="s">
        <v>253</v>
      </c>
      <c r="B144" s="58" t="s">
        <v>108</v>
      </c>
      <c r="C144" s="29" t="s">
        <v>3</v>
      </c>
      <c r="D144" s="30" t="s">
        <v>37</v>
      </c>
      <c r="E144" s="33">
        <v>1</v>
      </c>
      <c r="F144" s="33">
        <v>355.15</v>
      </c>
      <c r="G144" s="33">
        <v>11.71</v>
      </c>
      <c r="H144" s="33">
        <f>F144*E144</f>
        <v>355.15</v>
      </c>
      <c r="I144" s="33">
        <f>G144*E144</f>
        <v>11.71</v>
      </c>
      <c r="J144" s="33">
        <f>F144+G144</f>
        <v>366.85999999999996</v>
      </c>
      <c r="K144" s="33">
        <f t="shared" si="42"/>
        <v>366.85999999999996</v>
      </c>
    </row>
    <row r="145" spans="1:11" s="39" customFormat="1" x14ac:dyDescent="0.2">
      <c r="A145" s="128" t="s">
        <v>254</v>
      </c>
      <c r="B145" s="58" t="s">
        <v>109</v>
      </c>
      <c r="C145" s="29" t="s">
        <v>3</v>
      </c>
      <c r="D145" s="30" t="s">
        <v>37</v>
      </c>
      <c r="E145" s="33">
        <v>6</v>
      </c>
      <c r="F145" s="33">
        <v>14.63</v>
      </c>
      <c r="G145" s="33">
        <v>1.63</v>
      </c>
      <c r="H145" s="33">
        <f>F145*E145</f>
        <v>87.78</v>
      </c>
      <c r="I145" s="33">
        <f>G145*E145</f>
        <v>9.7799999999999994</v>
      </c>
      <c r="J145" s="33">
        <f>F145+G145</f>
        <v>16.260000000000002</v>
      </c>
      <c r="K145" s="33">
        <f t="shared" si="42"/>
        <v>97.56</v>
      </c>
    </row>
    <row r="146" spans="1:11" s="39" customFormat="1" x14ac:dyDescent="0.2">
      <c r="A146" s="128"/>
      <c r="B146" s="34"/>
      <c r="C146" s="147"/>
      <c r="D146" s="30"/>
      <c r="E146" s="33"/>
      <c r="F146" s="85"/>
      <c r="G146" s="85"/>
      <c r="H146" s="33"/>
      <c r="I146" s="33"/>
      <c r="J146" s="33"/>
      <c r="K146" s="33"/>
    </row>
    <row r="147" spans="1:11" s="39" customFormat="1" ht="15" customHeight="1" x14ac:dyDescent="0.25">
      <c r="A147" s="129" t="s">
        <v>143</v>
      </c>
      <c r="B147" s="79" t="s">
        <v>81</v>
      </c>
      <c r="C147" s="147"/>
      <c r="D147" s="30"/>
      <c r="E147" s="27"/>
      <c r="F147" s="27"/>
      <c r="G147" s="27"/>
      <c r="H147" s="33"/>
      <c r="I147" s="33"/>
      <c r="J147" s="33"/>
      <c r="K147" s="33"/>
    </row>
    <row r="148" spans="1:11" s="39" customFormat="1" ht="30.75" customHeight="1" x14ac:dyDescent="0.2">
      <c r="A148" s="128" t="s">
        <v>255</v>
      </c>
      <c r="B148" s="34" t="s">
        <v>123</v>
      </c>
      <c r="C148" s="112" t="s">
        <v>3</v>
      </c>
      <c r="D148" s="36" t="s">
        <v>38</v>
      </c>
      <c r="E148" s="113">
        <v>2</v>
      </c>
      <c r="F148" s="113">
        <f>1248.0023+384.24-186.9-21.21-170.75-317.02</f>
        <v>936.3623</v>
      </c>
      <c r="G148" s="113">
        <v>125.92</v>
      </c>
      <c r="H148" s="75">
        <f>E148*F148</f>
        <v>1872.7246</v>
      </c>
      <c r="I148" s="75">
        <f>E148*G148</f>
        <v>251.84</v>
      </c>
      <c r="J148" s="75">
        <f>F148+G148</f>
        <v>1062.2823000000001</v>
      </c>
      <c r="K148" s="75">
        <f t="shared" ref="K148:K173" si="52">J148*E148</f>
        <v>2124.5646000000002</v>
      </c>
    </row>
    <row r="149" spans="1:11" s="39" customFormat="1" ht="15" customHeight="1" x14ac:dyDescent="0.2">
      <c r="A149" s="128" t="s">
        <v>256</v>
      </c>
      <c r="B149" s="34" t="s">
        <v>82</v>
      </c>
      <c r="C149" s="29" t="s">
        <v>3</v>
      </c>
      <c r="D149" s="30" t="s">
        <v>38</v>
      </c>
      <c r="E149" s="31">
        <v>2</v>
      </c>
      <c r="F149" s="31">
        <f>840.3-138.14-37.32-382.89</f>
        <v>281.94999999999993</v>
      </c>
      <c r="G149" s="31">
        <f>82.97</f>
        <v>82.97</v>
      </c>
      <c r="H149" s="33">
        <f t="shared" ref="H149:H160" si="53">E149*F149</f>
        <v>563.89999999999986</v>
      </c>
      <c r="I149" s="33">
        <f t="shared" ref="I149:I160" si="54">E149*G149</f>
        <v>165.94</v>
      </c>
      <c r="J149" s="33">
        <f t="shared" ref="J149:J160" si="55">F149+G149</f>
        <v>364.91999999999996</v>
      </c>
      <c r="K149" s="33">
        <f t="shared" si="52"/>
        <v>729.83999999999992</v>
      </c>
    </row>
    <row r="150" spans="1:11" s="39" customFormat="1" ht="30" customHeight="1" x14ac:dyDescent="0.2">
      <c r="A150" s="128" t="s">
        <v>257</v>
      </c>
      <c r="B150" s="100" t="s">
        <v>426</v>
      </c>
      <c r="C150" s="112" t="s">
        <v>3</v>
      </c>
      <c r="D150" s="36" t="s">
        <v>38</v>
      </c>
      <c r="E150" s="113">
        <v>18</v>
      </c>
      <c r="F150" s="114">
        <f>384.24+127.01</f>
        <v>511.25</v>
      </c>
      <c r="G150" s="115">
        <v>19.41168</v>
      </c>
      <c r="H150" s="75">
        <f t="shared" si="53"/>
        <v>9202.5</v>
      </c>
      <c r="I150" s="75">
        <f t="shared" si="54"/>
        <v>349.41023999999999</v>
      </c>
      <c r="J150" s="75">
        <f t="shared" si="55"/>
        <v>530.66168000000005</v>
      </c>
      <c r="K150" s="75">
        <f t="shared" si="52"/>
        <v>9551.9102400000011</v>
      </c>
    </row>
    <row r="151" spans="1:11" s="39" customFormat="1" ht="30" x14ac:dyDescent="0.2">
      <c r="A151" s="128" t="s">
        <v>258</v>
      </c>
      <c r="B151" s="101" t="s">
        <v>427</v>
      </c>
      <c r="C151" s="112" t="s">
        <v>3</v>
      </c>
      <c r="D151" s="36" t="s">
        <v>205</v>
      </c>
      <c r="E151" s="113">
        <v>6</v>
      </c>
      <c r="F151" s="116">
        <v>1145.68</v>
      </c>
      <c r="G151" s="116">
        <v>55.3</v>
      </c>
      <c r="H151" s="75">
        <f t="shared" si="53"/>
        <v>6874.08</v>
      </c>
      <c r="I151" s="75">
        <f t="shared" si="54"/>
        <v>331.79999999999995</v>
      </c>
      <c r="J151" s="75">
        <f t="shared" si="55"/>
        <v>1200.98</v>
      </c>
      <c r="K151" s="75">
        <f t="shared" si="52"/>
        <v>7205.88</v>
      </c>
    </row>
    <row r="152" spans="1:11" s="39" customFormat="1" ht="15" customHeight="1" x14ac:dyDescent="0.2">
      <c r="A152" s="128" t="s">
        <v>259</v>
      </c>
      <c r="B152" s="34" t="s">
        <v>83</v>
      </c>
      <c r="C152" s="29" t="s">
        <v>3</v>
      </c>
      <c r="D152" s="30" t="s">
        <v>38</v>
      </c>
      <c r="E152" s="31">
        <v>2</v>
      </c>
      <c r="F152" s="32">
        <v>389.34</v>
      </c>
      <c r="G152" s="32">
        <v>72.793800000000005</v>
      </c>
      <c r="H152" s="33">
        <f t="shared" si="53"/>
        <v>778.68</v>
      </c>
      <c r="I152" s="33">
        <f t="shared" si="54"/>
        <v>145.58760000000001</v>
      </c>
      <c r="J152" s="33">
        <f t="shared" si="55"/>
        <v>462.13379999999995</v>
      </c>
      <c r="K152" s="33">
        <f t="shared" si="52"/>
        <v>924.2675999999999</v>
      </c>
    </row>
    <row r="153" spans="1:11" s="39" customFormat="1" ht="15" customHeight="1" x14ac:dyDescent="0.2">
      <c r="A153" s="128" t="s">
        <v>260</v>
      </c>
      <c r="B153" s="34" t="s">
        <v>84</v>
      </c>
      <c r="C153" s="29" t="s">
        <v>3</v>
      </c>
      <c r="D153" s="30" t="s">
        <v>37</v>
      </c>
      <c r="E153" s="31">
        <v>20</v>
      </c>
      <c r="F153" s="32">
        <v>168.55</v>
      </c>
      <c r="G153" s="32">
        <v>12.8</v>
      </c>
      <c r="H153" s="33">
        <f t="shared" si="53"/>
        <v>3371</v>
      </c>
      <c r="I153" s="33">
        <f t="shared" si="54"/>
        <v>256</v>
      </c>
      <c r="J153" s="33">
        <f t="shared" si="55"/>
        <v>181.35000000000002</v>
      </c>
      <c r="K153" s="33">
        <f t="shared" si="52"/>
        <v>3627.0000000000005</v>
      </c>
    </row>
    <row r="154" spans="1:11" s="39" customFormat="1" ht="15" customHeight="1" x14ac:dyDescent="0.2">
      <c r="A154" s="128" t="s">
        <v>261</v>
      </c>
      <c r="B154" s="34" t="s">
        <v>85</v>
      </c>
      <c r="C154" s="29" t="s">
        <v>3</v>
      </c>
      <c r="D154" s="30" t="s">
        <v>37</v>
      </c>
      <c r="E154" s="102">
        <v>1</v>
      </c>
      <c r="F154" s="32">
        <v>105.88</v>
      </c>
      <c r="G154" s="32">
        <v>9.6999999999999993</v>
      </c>
      <c r="H154" s="33">
        <f t="shared" si="53"/>
        <v>105.88</v>
      </c>
      <c r="I154" s="33">
        <f t="shared" si="54"/>
        <v>9.6999999999999993</v>
      </c>
      <c r="J154" s="33">
        <f t="shared" si="55"/>
        <v>115.58</v>
      </c>
      <c r="K154" s="33">
        <f t="shared" si="52"/>
        <v>115.58</v>
      </c>
    </row>
    <row r="155" spans="1:11" s="39" customFormat="1" ht="15" customHeight="1" x14ac:dyDescent="0.2">
      <c r="A155" s="128" t="s">
        <v>262</v>
      </c>
      <c r="B155" s="34" t="s">
        <v>204</v>
      </c>
      <c r="C155" s="29" t="s">
        <v>3</v>
      </c>
      <c r="D155" s="30" t="s">
        <v>205</v>
      </c>
      <c r="E155" s="31">
        <v>19</v>
      </c>
      <c r="F155" s="32">
        <v>969.36</v>
      </c>
      <c r="G155" s="103">
        <v>166.52</v>
      </c>
      <c r="H155" s="33">
        <f t="shared" si="53"/>
        <v>18417.84</v>
      </c>
      <c r="I155" s="33">
        <f t="shared" si="54"/>
        <v>3163.88</v>
      </c>
      <c r="J155" s="33">
        <f t="shared" si="55"/>
        <v>1135.8800000000001</v>
      </c>
      <c r="K155" s="33">
        <f t="shared" si="52"/>
        <v>21581.72</v>
      </c>
    </row>
    <row r="156" spans="1:11" s="39" customFormat="1" ht="15" customHeight="1" x14ac:dyDescent="0.2">
      <c r="A156" s="128" t="s">
        <v>263</v>
      </c>
      <c r="B156" s="34" t="s">
        <v>86</v>
      </c>
      <c r="C156" s="29" t="s">
        <v>3</v>
      </c>
      <c r="D156" s="30" t="s">
        <v>38</v>
      </c>
      <c r="E156" s="31">
        <v>2</v>
      </c>
      <c r="F156" s="32">
        <v>662.69</v>
      </c>
      <c r="G156" s="32">
        <v>49.106400000000001</v>
      </c>
      <c r="H156" s="33">
        <f t="shared" si="53"/>
        <v>1325.38</v>
      </c>
      <c r="I156" s="33">
        <f t="shared" si="54"/>
        <v>98.212800000000001</v>
      </c>
      <c r="J156" s="33">
        <f t="shared" si="55"/>
        <v>711.79640000000006</v>
      </c>
      <c r="K156" s="33">
        <f t="shared" si="52"/>
        <v>1423.5928000000001</v>
      </c>
    </row>
    <row r="157" spans="1:11" s="39" customFormat="1" ht="15" customHeight="1" x14ac:dyDescent="0.2">
      <c r="A157" s="128" t="s">
        <v>264</v>
      </c>
      <c r="B157" s="34" t="s">
        <v>87</v>
      </c>
      <c r="C157" s="29" t="s">
        <v>3</v>
      </c>
      <c r="D157" s="30" t="s">
        <v>37</v>
      </c>
      <c r="E157" s="31">
        <v>17</v>
      </c>
      <c r="F157" s="32">
        <v>64.84</v>
      </c>
      <c r="G157" s="32">
        <v>5.1100000000000003</v>
      </c>
      <c r="H157" s="33">
        <f t="shared" si="53"/>
        <v>1102.28</v>
      </c>
      <c r="I157" s="33">
        <f t="shared" si="54"/>
        <v>86.87</v>
      </c>
      <c r="J157" s="33">
        <f t="shared" si="55"/>
        <v>69.95</v>
      </c>
      <c r="K157" s="33">
        <f t="shared" si="52"/>
        <v>1189.1500000000001</v>
      </c>
    </row>
    <row r="158" spans="1:11" s="39" customFormat="1" ht="15" customHeight="1" x14ac:dyDescent="0.2">
      <c r="A158" s="128" t="s">
        <v>265</v>
      </c>
      <c r="B158" s="34" t="s">
        <v>121</v>
      </c>
      <c r="C158" s="29" t="s">
        <v>3</v>
      </c>
      <c r="D158" s="30" t="s">
        <v>38</v>
      </c>
      <c r="E158" s="31">
        <v>1</v>
      </c>
      <c r="F158" s="32">
        <v>106.38</v>
      </c>
      <c r="G158" s="32">
        <v>24.264600000000002</v>
      </c>
      <c r="H158" s="33">
        <f t="shared" si="53"/>
        <v>106.38</v>
      </c>
      <c r="I158" s="33">
        <f t="shared" si="54"/>
        <v>24.264600000000002</v>
      </c>
      <c r="J158" s="33">
        <f t="shared" si="55"/>
        <v>130.6446</v>
      </c>
      <c r="K158" s="33">
        <f t="shared" si="52"/>
        <v>130.6446</v>
      </c>
    </row>
    <row r="159" spans="1:11" s="39" customFormat="1" ht="15" customHeight="1" x14ac:dyDescent="0.2">
      <c r="A159" s="128" t="s">
        <v>266</v>
      </c>
      <c r="B159" s="34" t="s">
        <v>70</v>
      </c>
      <c r="C159" s="29" t="s">
        <v>3</v>
      </c>
      <c r="D159" s="30" t="s">
        <v>37</v>
      </c>
      <c r="E159" s="31">
        <v>2</v>
      </c>
      <c r="F159" s="32">
        <f>(273.6-262.57+134.9*1.15)</f>
        <v>166.16500000000002</v>
      </c>
      <c r="G159" s="32">
        <v>19.314</v>
      </c>
      <c r="H159" s="33">
        <f t="shared" si="53"/>
        <v>332.33000000000004</v>
      </c>
      <c r="I159" s="33">
        <f t="shared" si="54"/>
        <v>38.628</v>
      </c>
      <c r="J159" s="33">
        <f t="shared" si="55"/>
        <v>185.47900000000001</v>
      </c>
      <c r="K159" s="33">
        <f t="shared" si="52"/>
        <v>370.95800000000003</v>
      </c>
    </row>
    <row r="160" spans="1:11" s="39" customFormat="1" ht="15" customHeight="1" x14ac:dyDescent="0.2">
      <c r="A160" s="128" t="s">
        <v>267</v>
      </c>
      <c r="B160" s="34" t="s">
        <v>88</v>
      </c>
      <c r="C160" s="147" t="s">
        <v>41</v>
      </c>
      <c r="D160" s="30" t="s">
        <v>38</v>
      </c>
      <c r="E160" s="31">
        <f>2.7+4.95</f>
        <v>7.65</v>
      </c>
      <c r="F160" s="32">
        <v>160.16999999999999</v>
      </c>
      <c r="G160" s="32">
        <v>15.9396</v>
      </c>
      <c r="H160" s="33">
        <f t="shared" si="53"/>
        <v>1225.3005000000001</v>
      </c>
      <c r="I160" s="33">
        <f t="shared" si="54"/>
        <v>121.93794000000001</v>
      </c>
      <c r="J160" s="33">
        <f t="shared" si="55"/>
        <v>176.1096</v>
      </c>
      <c r="K160" s="33">
        <f t="shared" si="52"/>
        <v>1347.2384400000001</v>
      </c>
    </row>
    <row r="161" spans="1:11" s="39" customFormat="1" ht="30" x14ac:dyDescent="0.2">
      <c r="A161" s="128" t="s">
        <v>268</v>
      </c>
      <c r="B161" s="93" t="s">
        <v>438</v>
      </c>
      <c r="C161" s="147" t="s">
        <v>41</v>
      </c>
      <c r="D161" s="30" t="s">
        <v>37</v>
      </c>
      <c r="E161" s="31">
        <f>0.52*5.78</f>
        <v>3.0056000000000003</v>
      </c>
      <c r="F161" s="32">
        <v>571</v>
      </c>
      <c r="G161" s="32">
        <v>46.02</v>
      </c>
      <c r="H161" s="33">
        <f>F161*E161</f>
        <v>1716.1976000000002</v>
      </c>
      <c r="I161" s="33">
        <f>G161*E161</f>
        <v>138.31771200000003</v>
      </c>
      <c r="J161" s="33">
        <f>G161+F161</f>
        <v>617.02</v>
      </c>
      <c r="K161" s="33">
        <f t="shared" si="52"/>
        <v>1854.5153120000002</v>
      </c>
    </row>
    <row r="162" spans="1:11" s="39" customFormat="1" ht="30" x14ac:dyDescent="0.2">
      <c r="A162" s="128" t="s">
        <v>269</v>
      </c>
      <c r="B162" s="93" t="s">
        <v>439</v>
      </c>
      <c r="C162" s="147" t="s">
        <v>41</v>
      </c>
      <c r="D162" s="30" t="s">
        <v>37</v>
      </c>
      <c r="E162" s="31">
        <f>0.52*4.42</f>
        <v>2.2984</v>
      </c>
      <c r="F162" s="32">
        <v>571</v>
      </c>
      <c r="G162" s="32">
        <v>46.02</v>
      </c>
      <c r="H162" s="33">
        <f t="shared" ref="H162:H173" si="56">F162*E162</f>
        <v>1312.3864000000001</v>
      </c>
      <c r="I162" s="33">
        <f t="shared" ref="I162:I173" si="57">G162*E162</f>
        <v>105.772368</v>
      </c>
      <c r="J162" s="33">
        <f t="shared" ref="J162:J173" si="58">G162+F162</f>
        <v>617.02</v>
      </c>
      <c r="K162" s="33">
        <f t="shared" si="52"/>
        <v>1418.158768</v>
      </c>
    </row>
    <row r="163" spans="1:11" s="39" customFormat="1" ht="30" x14ac:dyDescent="0.2">
      <c r="A163" s="128" t="s">
        <v>270</v>
      </c>
      <c r="B163" s="93" t="s">
        <v>440</v>
      </c>
      <c r="C163" s="147" t="s">
        <v>41</v>
      </c>
      <c r="D163" s="30" t="s">
        <v>37</v>
      </c>
      <c r="E163" s="31">
        <f>0.62*1.52</f>
        <v>0.94240000000000002</v>
      </c>
      <c r="F163" s="32">
        <v>571</v>
      </c>
      <c r="G163" s="32">
        <v>46.02</v>
      </c>
      <c r="H163" s="33">
        <f t="shared" si="56"/>
        <v>538.11040000000003</v>
      </c>
      <c r="I163" s="33">
        <f t="shared" si="57"/>
        <v>43.369248000000006</v>
      </c>
      <c r="J163" s="33">
        <f t="shared" si="58"/>
        <v>617.02</v>
      </c>
      <c r="K163" s="33">
        <f t="shared" si="52"/>
        <v>581.479648</v>
      </c>
    </row>
    <row r="164" spans="1:11" s="39" customFormat="1" ht="30" x14ac:dyDescent="0.2">
      <c r="A164" s="128" t="s">
        <v>271</v>
      </c>
      <c r="B164" s="93" t="s">
        <v>441</v>
      </c>
      <c r="C164" s="147" t="s">
        <v>41</v>
      </c>
      <c r="D164" s="30" t="s">
        <v>37</v>
      </c>
      <c r="E164" s="31">
        <f>0.52*3.08</f>
        <v>1.6016000000000001</v>
      </c>
      <c r="F164" s="32">
        <v>571</v>
      </c>
      <c r="G164" s="32">
        <v>46.02</v>
      </c>
      <c r="H164" s="33">
        <f t="shared" si="56"/>
        <v>914.51360000000011</v>
      </c>
      <c r="I164" s="33">
        <f t="shared" si="57"/>
        <v>73.705632000000008</v>
      </c>
      <c r="J164" s="33">
        <f t="shared" si="58"/>
        <v>617.02</v>
      </c>
      <c r="K164" s="33">
        <f t="shared" si="52"/>
        <v>988.21923200000003</v>
      </c>
    </row>
    <row r="165" spans="1:11" s="39" customFormat="1" ht="30" x14ac:dyDescent="0.2">
      <c r="A165" s="128" t="s">
        <v>272</v>
      </c>
      <c r="B165" s="93" t="s">
        <v>442</v>
      </c>
      <c r="C165" s="147" t="s">
        <v>41</v>
      </c>
      <c r="D165" s="30" t="s">
        <v>37</v>
      </c>
      <c r="E165" s="31">
        <f>0.52*2.42</f>
        <v>1.2584</v>
      </c>
      <c r="F165" s="32">
        <v>571</v>
      </c>
      <c r="G165" s="32">
        <v>46.02</v>
      </c>
      <c r="H165" s="33">
        <f t="shared" si="56"/>
        <v>718.54639999999995</v>
      </c>
      <c r="I165" s="33">
        <f t="shared" si="57"/>
        <v>57.911568000000003</v>
      </c>
      <c r="J165" s="33">
        <f t="shared" si="58"/>
        <v>617.02</v>
      </c>
      <c r="K165" s="33">
        <f t="shared" si="52"/>
        <v>776.45796799999994</v>
      </c>
    </row>
    <row r="166" spans="1:11" s="39" customFormat="1" ht="15" customHeight="1" x14ac:dyDescent="0.2">
      <c r="A166" s="128" t="s">
        <v>273</v>
      </c>
      <c r="B166" s="58" t="s">
        <v>122</v>
      </c>
      <c r="C166" s="147" t="s">
        <v>35</v>
      </c>
      <c r="D166" s="30" t="s">
        <v>38</v>
      </c>
      <c r="E166" s="31">
        <f>(1.0085*4)+(0.6637*2)</f>
        <v>5.3613999999999997</v>
      </c>
      <c r="F166" s="32">
        <f>323.1544-317.02+198.13</f>
        <v>204.26440000000002</v>
      </c>
      <c r="G166" s="32">
        <v>11.1555</v>
      </c>
      <c r="H166" s="33">
        <f t="shared" si="56"/>
        <v>1095.14315416</v>
      </c>
      <c r="I166" s="33">
        <f t="shared" si="57"/>
        <v>59.809097699999995</v>
      </c>
      <c r="J166" s="33">
        <f t="shared" si="58"/>
        <v>215.41990000000001</v>
      </c>
      <c r="K166" s="33">
        <f t="shared" si="52"/>
        <v>1154.9522518599999</v>
      </c>
    </row>
    <row r="167" spans="1:11" s="39" customFormat="1" ht="15" customHeight="1" x14ac:dyDescent="0.2">
      <c r="A167" s="128" t="s">
        <v>274</v>
      </c>
      <c r="B167" s="28" t="s">
        <v>124</v>
      </c>
      <c r="C167" s="29" t="s">
        <v>3</v>
      </c>
      <c r="D167" s="30" t="s">
        <v>37</v>
      </c>
      <c r="E167" s="31">
        <v>22</v>
      </c>
      <c r="F167" s="32">
        <v>5.93</v>
      </c>
      <c r="G167" s="32">
        <v>11.03</v>
      </c>
      <c r="H167" s="33">
        <f t="shared" si="56"/>
        <v>130.45999999999998</v>
      </c>
      <c r="I167" s="33">
        <f t="shared" si="57"/>
        <v>242.66</v>
      </c>
      <c r="J167" s="33">
        <f t="shared" si="58"/>
        <v>16.96</v>
      </c>
      <c r="K167" s="33">
        <f t="shared" si="52"/>
        <v>373.12</v>
      </c>
    </row>
    <row r="168" spans="1:11" s="39" customFormat="1" ht="15" customHeight="1" x14ac:dyDescent="0.2">
      <c r="A168" s="128" t="s">
        <v>275</v>
      </c>
      <c r="B168" s="47" t="s">
        <v>120</v>
      </c>
      <c r="C168" s="29" t="s">
        <v>3</v>
      </c>
      <c r="D168" s="30" t="s">
        <v>37</v>
      </c>
      <c r="E168" s="31">
        <f>22+E151</f>
        <v>28</v>
      </c>
      <c r="F168" s="32">
        <v>25.56</v>
      </c>
      <c r="G168" s="32">
        <v>3.34</v>
      </c>
      <c r="H168" s="33">
        <f t="shared" si="56"/>
        <v>715.68</v>
      </c>
      <c r="I168" s="33">
        <f t="shared" si="57"/>
        <v>93.52</v>
      </c>
      <c r="J168" s="33">
        <f t="shared" si="58"/>
        <v>28.9</v>
      </c>
      <c r="K168" s="33">
        <f t="shared" si="52"/>
        <v>809.19999999999993</v>
      </c>
    </row>
    <row r="169" spans="1:11" s="39" customFormat="1" ht="15" customHeight="1" x14ac:dyDescent="0.2">
      <c r="A169" s="128" t="s">
        <v>276</v>
      </c>
      <c r="B169" s="28" t="s">
        <v>118</v>
      </c>
      <c r="C169" s="29" t="s">
        <v>3</v>
      </c>
      <c r="D169" s="30" t="s">
        <v>37</v>
      </c>
      <c r="E169" s="31">
        <v>21</v>
      </c>
      <c r="F169" s="32">
        <v>20.69</v>
      </c>
      <c r="G169" s="32">
        <v>5.52</v>
      </c>
      <c r="H169" s="33">
        <f t="shared" si="56"/>
        <v>434.49</v>
      </c>
      <c r="I169" s="33">
        <f t="shared" si="57"/>
        <v>115.91999999999999</v>
      </c>
      <c r="J169" s="33">
        <f t="shared" si="58"/>
        <v>26.21</v>
      </c>
      <c r="K169" s="33">
        <f t="shared" si="52"/>
        <v>550.41</v>
      </c>
    </row>
    <row r="170" spans="1:11" s="39" customFormat="1" ht="15" customHeight="1" x14ac:dyDescent="0.2">
      <c r="A170" s="128" t="s">
        <v>277</v>
      </c>
      <c r="B170" s="28" t="s">
        <v>119</v>
      </c>
      <c r="C170" s="29" t="s">
        <v>3</v>
      </c>
      <c r="D170" s="30" t="s">
        <v>37</v>
      </c>
      <c r="E170" s="31">
        <v>1</v>
      </c>
      <c r="F170" s="32">
        <v>40.549999999999997</v>
      </c>
      <c r="G170" s="32">
        <v>5.52</v>
      </c>
      <c r="H170" s="33">
        <f t="shared" si="56"/>
        <v>40.549999999999997</v>
      </c>
      <c r="I170" s="33">
        <f t="shared" si="57"/>
        <v>5.52</v>
      </c>
      <c r="J170" s="33">
        <f t="shared" si="58"/>
        <v>46.069999999999993</v>
      </c>
      <c r="K170" s="33">
        <f t="shared" si="52"/>
        <v>46.069999999999993</v>
      </c>
    </row>
    <row r="171" spans="1:11" s="39" customFormat="1" ht="15" customHeight="1" x14ac:dyDescent="0.2">
      <c r="A171" s="128" t="s">
        <v>278</v>
      </c>
      <c r="B171" s="28" t="s">
        <v>125</v>
      </c>
      <c r="C171" s="29" t="s">
        <v>3</v>
      </c>
      <c r="D171" s="30" t="s">
        <v>37</v>
      </c>
      <c r="E171" s="31">
        <v>20</v>
      </c>
      <c r="F171" s="32">
        <v>32.409999999999997</v>
      </c>
      <c r="G171" s="32">
        <v>3.4</v>
      </c>
      <c r="H171" s="33">
        <f t="shared" si="56"/>
        <v>648.19999999999993</v>
      </c>
      <c r="I171" s="33">
        <f t="shared" si="57"/>
        <v>68</v>
      </c>
      <c r="J171" s="33">
        <f t="shared" si="58"/>
        <v>35.809999999999995</v>
      </c>
      <c r="K171" s="33">
        <f t="shared" si="52"/>
        <v>716.19999999999993</v>
      </c>
    </row>
    <row r="172" spans="1:11" s="39" customFormat="1" ht="15" customHeight="1" x14ac:dyDescent="0.2">
      <c r="A172" s="128" t="s">
        <v>279</v>
      </c>
      <c r="B172" s="28" t="s">
        <v>207</v>
      </c>
      <c r="C172" s="29" t="s">
        <v>3</v>
      </c>
      <c r="D172" s="30" t="s">
        <v>205</v>
      </c>
      <c r="E172" s="31">
        <v>4</v>
      </c>
      <c r="F172" s="32">
        <v>893.03</v>
      </c>
      <c r="G172" s="32">
        <v>10.54</v>
      </c>
      <c r="H172" s="33">
        <f t="shared" si="56"/>
        <v>3572.12</v>
      </c>
      <c r="I172" s="33">
        <f t="shared" si="57"/>
        <v>42.16</v>
      </c>
      <c r="J172" s="33">
        <f t="shared" si="58"/>
        <v>903.56999999999994</v>
      </c>
      <c r="K172" s="33">
        <f t="shared" si="52"/>
        <v>3614.2799999999997</v>
      </c>
    </row>
    <row r="173" spans="1:11" s="39" customFormat="1" ht="15" customHeight="1" x14ac:dyDescent="0.2">
      <c r="A173" s="128" t="s">
        <v>280</v>
      </c>
      <c r="B173" s="28" t="s">
        <v>126</v>
      </c>
      <c r="C173" s="29" t="s">
        <v>3</v>
      </c>
      <c r="D173" s="30" t="s">
        <v>37</v>
      </c>
      <c r="E173" s="31">
        <v>15</v>
      </c>
      <c r="F173" s="32">
        <v>20.309999999999999</v>
      </c>
      <c r="G173" s="32">
        <v>3.4</v>
      </c>
      <c r="H173" s="33">
        <f t="shared" si="56"/>
        <v>304.64999999999998</v>
      </c>
      <c r="I173" s="33">
        <f t="shared" si="57"/>
        <v>51</v>
      </c>
      <c r="J173" s="33">
        <f t="shared" si="58"/>
        <v>23.709999999999997</v>
      </c>
      <c r="K173" s="33">
        <f t="shared" si="52"/>
        <v>355.65</v>
      </c>
    </row>
    <row r="174" spans="1:11" s="39" customFormat="1" ht="15.75" x14ac:dyDescent="0.25">
      <c r="A174" s="128"/>
      <c r="B174" s="48" t="s">
        <v>61</v>
      </c>
      <c r="C174" s="271"/>
      <c r="D174" s="271"/>
      <c r="E174" s="271"/>
      <c r="F174" s="271"/>
      <c r="G174" s="271"/>
      <c r="H174" s="271"/>
      <c r="I174" s="271"/>
      <c r="J174" s="271"/>
      <c r="K174" s="49">
        <f>SUM(K117:K173)</f>
        <v>76498.188123660002</v>
      </c>
    </row>
    <row r="175" spans="1:11" s="39" customFormat="1" ht="15.75" x14ac:dyDescent="0.25">
      <c r="A175" s="131">
        <v>18</v>
      </c>
      <c r="B175" s="86" t="s">
        <v>17</v>
      </c>
      <c r="C175" s="87"/>
      <c r="D175" s="87"/>
      <c r="E175" s="87"/>
      <c r="F175" s="87"/>
      <c r="G175" s="87"/>
      <c r="H175" s="87"/>
      <c r="I175" s="87"/>
      <c r="J175" s="87"/>
      <c r="K175" s="87"/>
    </row>
    <row r="176" spans="1:11" s="39" customFormat="1" ht="45" x14ac:dyDescent="0.2">
      <c r="A176" s="132" t="s">
        <v>142</v>
      </c>
      <c r="B176" s="34" t="s">
        <v>394</v>
      </c>
      <c r="C176" s="107" t="s">
        <v>39</v>
      </c>
      <c r="D176" s="107" t="s">
        <v>37</v>
      </c>
      <c r="E176" s="108">
        <v>1</v>
      </c>
      <c r="F176" s="108">
        <v>214.54</v>
      </c>
      <c r="G176" s="108">
        <v>53</v>
      </c>
      <c r="H176" s="108">
        <f t="shared" ref="H176:H217" si="59">F176*E176</f>
        <v>214.54</v>
      </c>
      <c r="I176" s="108">
        <f t="shared" ref="I176:I217" si="60">G176*E176</f>
        <v>53</v>
      </c>
      <c r="J176" s="108">
        <f t="shared" ref="J176:J217" si="61">G176+F176</f>
        <v>267.53999999999996</v>
      </c>
      <c r="K176" s="75">
        <f t="shared" ref="K176:K217" si="62">J176*E176</f>
        <v>267.53999999999996</v>
      </c>
    </row>
    <row r="177" spans="1:11" s="39" customFormat="1" x14ac:dyDescent="0.2">
      <c r="A177" s="132" t="s">
        <v>281</v>
      </c>
      <c r="B177" s="37" t="s">
        <v>395</v>
      </c>
      <c r="C177" s="40" t="s">
        <v>39</v>
      </c>
      <c r="D177" s="30" t="s">
        <v>37</v>
      </c>
      <c r="E177" s="41">
        <v>1</v>
      </c>
      <c r="F177" s="41">
        <v>66.41</v>
      </c>
      <c r="G177" s="41">
        <v>23.65</v>
      </c>
      <c r="H177" s="42">
        <f t="shared" si="59"/>
        <v>66.41</v>
      </c>
      <c r="I177" s="42">
        <f t="shared" si="60"/>
        <v>23.65</v>
      </c>
      <c r="J177" s="42">
        <f t="shared" si="61"/>
        <v>90.06</v>
      </c>
      <c r="K177" s="33">
        <f t="shared" si="62"/>
        <v>90.06</v>
      </c>
    </row>
    <row r="178" spans="1:11" s="39" customFormat="1" x14ac:dyDescent="0.2">
      <c r="A178" s="132" t="s">
        <v>282</v>
      </c>
      <c r="B178" s="37" t="s">
        <v>154</v>
      </c>
      <c r="C178" s="40" t="s">
        <v>39</v>
      </c>
      <c r="D178" s="30" t="s">
        <v>37</v>
      </c>
      <c r="E178" s="41">
        <v>3</v>
      </c>
      <c r="F178" s="41">
        <v>117.05</v>
      </c>
      <c r="G178" s="41">
        <v>15.6</v>
      </c>
      <c r="H178" s="42">
        <f t="shared" si="59"/>
        <v>351.15</v>
      </c>
      <c r="I178" s="42">
        <f t="shared" si="60"/>
        <v>46.8</v>
      </c>
      <c r="J178" s="42">
        <f t="shared" si="61"/>
        <v>132.65</v>
      </c>
      <c r="K178" s="33">
        <f t="shared" si="62"/>
        <v>397.95000000000005</v>
      </c>
    </row>
    <row r="179" spans="1:11" s="39" customFormat="1" x14ac:dyDescent="0.2">
      <c r="A179" s="132" t="s">
        <v>283</v>
      </c>
      <c r="B179" s="37" t="s">
        <v>352</v>
      </c>
      <c r="C179" s="40" t="s">
        <v>39</v>
      </c>
      <c r="D179" s="30" t="s">
        <v>37</v>
      </c>
      <c r="E179" s="41">
        <v>1</v>
      </c>
      <c r="F179" s="41">
        <v>46.58</v>
      </c>
      <c r="G179" s="41">
        <v>23.65</v>
      </c>
      <c r="H179" s="42">
        <f t="shared" si="59"/>
        <v>46.58</v>
      </c>
      <c r="I179" s="42">
        <f t="shared" si="60"/>
        <v>23.65</v>
      </c>
      <c r="J179" s="42">
        <f t="shared" si="61"/>
        <v>70.22999999999999</v>
      </c>
      <c r="K179" s="33">
        <f t="shared" si="62"/>
        <v>70.22999999999999</v>
      </c>
    </row>
    <row r="180" spans="1:11" s="39" customFormat="1" x14ac:dyDescent="0.2">
      <c r="A180" s="132" t="s">
        <v>284</v>
      </c>
      <c r="B180" s="37" t="s">
        <v>155</v>
      </c>
      <c r="C180" s="40" t="s">
        <v>39</v>
      </c>
      <c r="D180" s="30" t="s">
        <v>37</v>
      </c>
      <c r="E180" s="41">
        <v>4</v>
      </c>
      <c r="F180" s="41">
        <v>37.1</v>
      </c>
      <c r="G180" s="41">
        <v>15.77</v>
      </c>
      <c r="H180" s="42">
        <f>F180*E180</f>
        <v>148.4</v>
      </c>
      <c r="I180" s="42">
        <f t="shared" si="60"/>
        <v>63.08</v>
      </c>
      <c r="J180" s="42">
        <f t="shared" si="61"/>
        <v>52.870000000000005</v>
      </c>
      <c r="K180" s="33">
        <f t="shared" si="62"/>
        <v>211.48000000000002</v>
      </c>
    </row>
    <row r="181" spans="1:11" s="39" customFormat="1" x14ac:dyDescent="0.2">
      <c r="A181" s="132" t="s">
        <v>285</v>
      </c>
      <c r="B181" s="37" t="s">
        <v>396</v>
      </c>
      <c r="C181" s="40" t="s">
        <v>3</v>
      </c>
      <c r="D181" s="30" t="s">
        <v>37</v>
      </c>
      <c r="E181" s="41">
        <v>6</v>
      </c>
      <c r="F181" s="41">
        <v>97.76</v>
      </c>
      <c r="G181" s="41">
        <v>6.58</v>
      </c>
      <c r="H181" s="42">
        <f>F181*E181</f>
        <v>586.56000000000006</v>
      </c>
      <c r="I181" s="42">
        <f t="shared" si="60"/>
        <v>39.480000000000004</v>
      </c>
      <c r="J181" s="42">
        <f t="shared" si="61"/>
        <v>104.34</v>
      </c>
      <c r="K181" s="33">
        <f t="shared" si="62"/>
        <v>626.04</v>
      </c>
    </row>
    <row r="182" spans="1:11" s="39" customFormat="1" x14ac:dyDescent="0.2">
      <c r="A182" s="132" t="s">
        <v>286</v>
      </c>
      <c r="B182" s="37" t="s">
        <v>397</v>
      </c>
      <c r="C182" s="40" t="s">
        <v>39</v>
      </c>
      <c r="D182" s="30" t="s">
        <v>37</v>
      </c>
      <c r="E182" s="41">
        <v>2</v>
      </c>
      <c r="F182" s="41">
        <v>101.52</v>
      </c>
      <c r="G182" s="41">
        <v>6.58</v>
      </c>
      <c r="H182" s="42">
        <f t="shared" si="59"/>
        <v>203.04</v>
      </c>
      <c r="I182" s="42">
        <f t="shared" si="60"/>
        <v>13.16</v>
      </c>
      <c r="J182" s="42">
        <f t="shared" si="61"/>
        <v>108.1</v>
      </c>
      <c r="K182" s="33">
        <f t="shared" si="62"/>
        <v>216.2</v>
      </c>
    </row>
    <row r="183" spans="1:11" s="39" customFormat="1" x14ac:dyDescent="0.2">
      <c r="A183" s="132" t="s">
        <v>287</v>
      </c>
      <c r="B183" s="37" t="s">
        <v>156</v>
      </c>
      <c r="C183" s="40" t="s">
        <v>39</v>
      </c>
      <c r="D183" s="30" t="s">
        <v>37</v>
      </c>
      <c r="E183" s="41">
        <v>10</v>
      </c>
      <c r="F183" s="41">
        <v>6.53</v>
      </c>
      <c r="G183" s="41">
        <v>7.89</v>
      </c>
      <c r="H183" s="42">
        <f t="shared" si="59"/>
        <v>65.3</v>
      </c>
      <c r="I183" s="42">
        <f t="shared" si="60"/>
        <v>78.899999999999991</v>
      </c>
      <c r="J183" s="42">
        <f t="shared" si="61"/>
        <v>14.42</v>
      </c>
      <c r="K183" s="33">
        <f t="shared" si="62"/>
        <v>144.19999999999999</v>
      </c>
    </row>
    <row r="184" spans="1:11" s="39" customFormat="1" x14ac:dyDescent="0.2">
      <c r="A184" s="132" t="s">
        <v>288</v>
      </c>
      <c r="B184" s="37" t="s">
        <v>353</v>
      </c>
      <c r="C184" s="43" t="s">
        <v>35</v>
      </c>
      <c r="D184" s="30" t="s">
        <v>37</v>
      </c>
      <c r="E184" s="41">
        <v>6</v>
      </c>
      <c r="F184" s="41">
        <v>21.2</v>
      </c>
      <c r="G184" s="41">
        <v>13.14</v>
      </c>
      <c r="H184" s="42">
        <f t="shared" si="59"/>
        <v>127.19999999999999</v>
      </c>
      <c r="I184" s="42">
        <f t="shared" si="60"/>
        <v>78.84</v>
      </c>
      <c r="J184" s="42">
        <f t="shared" si="61"/>
        <v>34.340000000000003</v>
      </c>
      <c r="K184" s="33">
        <f t="shared" si="62"/>
        <v>206.04000000000002</v>
      </c>
    </row>
    <row r="185" spans="1:11" s="39" customFormat="1" x14ac:dyDescent="0.2">
      <c r="A185" s="132" t="s">
        <v>289</v>
      </c>
      <c r="B185" s="37" t="s">
        <v>354</v>
      </c>
      <c r="C185" s="43" t="s">
        <v>35</v>
      </c>
      <c r="D185" s="30" t="s">
        <v>37</v>
      </c>
      <c r="E185" s="41">
        <f>7*3</f>
        <v>21</v>
      </c>
      <c r="F185" s="41">
        <v>16.149999999999999</v>
      </c>
      <c r="G185" s="41">
        <v>6.58</v>
      </c>
      <c r="H185" s="42">
        <f t="shared" si="59"/>
        <v>339.15</v>
      </c>
      <c r="I185" s="42">
        <f t="shared" si="60"/>
        <v>138.18</v>
      </c>
      <c r="J185" s="42">
        <f t="shared" si="61"/>
        <v>22.729999999999997</v>
      </c>
      <c r="K185" s="33">
        <f t="shared" si="62"/>
        <v>477.32999999999993</v>
      </c>
    </row>
    <row r="186" spans="1:11" s="39" customFormat="1" x14ac:dyDescent="0.2">
      <c r="A186" s="132" t="s">
        <v>290</v>
      </c>
      <c r="B186" s="37" t="s">
        <v>145</v>
      </c>
      <c r="C186" s="44" t="s">
        <v>35</v>
      </c>
      <c r="D186" s="30" t="s">
        <v>37</v>
      </c>
      <c r="E186" s="41">
        <v>50</v>
      </c>
      <c r="F186" s="41">
        <v>5.82</v>
      </c>
      <c r="G186" s="41">
        <v>18.39</v>
      </c>
      <c r="H186" s="42">
        <f t="shared" si="59"/>
        <v>291</v>
      </c>
      <c r="I186" s="42">
        <f t="shared" si="60"/>
        <v>919.5</v>
      </c>
      <c r="J186" s="42">
        <f t="shared" si="61"/>
        <v>24.21</v>
      </c>
      <c r="K186" s="33">
        <f t="shared" si="62"/>
        <v>1210.5</v>
      </c>
    </row>
    <row r="187" spans="1:11" s="39" customFormat="1" x14ac:dyDescent="0.2">
      <c r="A187" s="132" t="s">
        <v>291</v>
      </c>
      <c r="B187" s="37" t="s">
        <v>355</v>
      </c>
      <c r="C187" s="44" t="s">
        <v>35</v>
      </c>
      <c r="D187" s="30" t="s">
        <v>37</v>
      </c>
      <c r="E187" s="41">
        <v>6</v>
      </c>
      <c r="F187" s="42">
        <v>12.83</v>
      </c>
      <c r="G187" s="42">
        <v>26.28</v>
      </c>
      <c r="H187" s="42">
        <f t="shared" si="59"/>
        <v>76.98</v>
      </c>
      <c r="I187" s="42">
        <f t="shared" si="60"/>
        <v>157.68</v>
      </c>
      <c r="J187" s="42">
        <f t="shared" si="61"/>
        <v>39.11</v>
      </c>
      <c r="K187" s="33">
        <f t="shared" si="62"/>
        <v>234.66</v>
      </c>
    </row>
    <row r="188" spans="1:11" s="39" customFormat="1" x14ac:dyDescent="0.2">
      <c r="A188" s="132" t="s">
        <v>292</v>
      </c>
      <c r="B188" s="37" t="s">
        <v>147</v>
      </c>
      <c r="C188" s="44" t="s">
        <v>35</v>
      </c>
      <c r="D188" s="30" t="s">
        <v>37</v>
      </c>
      <c r="E188" s="41">
        <v>26</v>
      </c>
      <c r="F188" s="41">
        <v>1.47</v>
      </c>
      <c r="G188" s="41">
        <v>7.89</v>
      </c>
      <c r="H188" s="42">
        <f t="shared" si="59"/>
        <v>38.22</v>
      </c>
      <c r="I188" s="42">
        <f t="shared" si="60"/>
        <v>205.14</v>
      </c>
      <c r="J188" s="42">
        <f t="shared" si="61"/>
        <v>9.36</v>
      </c>
      <c r="K188" s="33">
        <f t="shared" si="62"/>
        <v>243.35999999999999</v>
      </c>
    </row>
    <row r="189" spans="1:11" s="39" customFormat="1" x14ac:dyDescent="0.2">
      <c r="A189" s="132" t="s">
        <v>293</v>
      </c>
      <c r="B189" s="37" t="s">
        <v>146</v>
      </c>
      <c r="C189" s="44" t="s">
        <v>39</v>
      </c>
      <c r="D189" s="30" t="s">
        <v>37</v>
      </c>
      <c r="E189" s="41">
        <v>59</v>
      </c>
      <c r="F189" s="41">
        <v>16.93</v>
      </c>
      <c r="G189" s="41">
        <v>13.14</v>
      </c>
      <c r="H189" s="42">
        <f t="shared" si="59"/>
        <v>998.87</v>
      </c>
      <c r="I189" s="42">
        <f t="shared" si="60"/>
        <v>775.26</v>
      </c>
      <c r="J189" s="42">
        <f t="shared" si="61"/>
        <v>30.07</v>
      </c>
      <c r="K189" s="33">
        <f t="shared" si="62"/>
        <v>1774.13</v>
      </c>
    </row>
    <row r="190" spans="1:11" s="39" customFormat="1" x14ac:dyDescent="0.2">
      <c r="A190" s="132" t="s">
        <v>294</v>
      </c>
      <c r="B190" s="37" t="s">
        <v>356</v>
      </c>
      <c r="C190" s="44" t="s">
        <v>39</v>
      </c>
      <c r="D190" s="30" t="s">
        <v>37</v>
      </c>
      <c r="E190" s="41">
        <v>2</v>
      </c>
      <c r="F190" s="41">
        <v>52.75</v>
      </c>
      <c r="G190" s="41">
        <v>13.14</v>
      </c>
      <c r="H190" s="42">
        <f t="shared" si="59"/>
        <v>105.5</v>
      </c>
      <c r="I190" s="42">
        <f t="shared" si="60"/>
        <v>26.28</v>
      </c>
      <c r="J190" s="42">
        <f t="shared" si="61"/>
        <v>65.89</v>
      </c>
      <c r="K190" s="33">
        <f t="shared" si="62"/>
        <v>131.78</v>
      </c>
    </row>
    <row r="191" spans="1:11" s="39" customFormat="1" x14ac:dyDescent="0.2">
      <c r="A191" s="132" t="s">
        <v>295</v>
      </c>
      <c r="B191" s="37" t="s">
        <v>357</v>
      </c>
      <c r="C191" s="40" t="s">
        <v>39</v>
      </c>
      <c r="D191" s="30" t="s">
        <v>37</v>
      </c>
      <c r="E191" s="41">
        <v>1</v>
      </c>
      <c r="F191" s="41">
        <f>F187+5.81</f>
        <v>18.64</v>
      </c>
      <c r="G191" s="41">
        <f>7.89+13.14</f>
        <v>21.03</v>
      </c>
      <c r="H191" s="42">
        <f t="shared" si="59"/>
        <v>18.64</v>
      </c>
      <c r="I191" s="42">
        <f t="shared" si="60"/>
        <v>21.03</v>
      </c>
      <c r="J191" s="42">
        <f t="shared" si="61"/>
        <v>39.67</v>
      </c>
      <c r="K191" s="33">
        <f t="shared" si="62"/>
        <v>39.67</v>
      </c>
    </row>
    <row r="192" spans="1:11" s="39" customFormat="1" x14ac:dyDescent="0.2">
      <c r="A192" s="132" t="s">
        <v>296</v>
      </c>
      <c r="B192" s="37" t="s">
        <v>358</v>
      </c>
      <c r="C192" s="40" t="s">
        <v>39</v>
      </c>
      <c r="D192" s="30" t="s">
        <v>37</v>
      </c>
      <c r="E192" s="41">
        <v>12</v>
      </c>
      <c r="F192" s="41">
        <f>F186+5.81</f>
        <v>11.629999999999999</v>
      </c>
      <c r="G192" s="41">
        <f>7.89+13.14</f>
        <v>21.03</v>
      </c>
      <c r="H192" s="42">
        <f t="shared" si="59"/>
        <v>139.56</v>
      </c>
      <c r="I192" s="42">
        <f t="shared" si="60"/>
        <v>252.36</v>
      </c>
      <c r="J192" s="42">
        <f t="shared" si="61"/>
        <v>32.659999999999997</v>
      </c>
      <c r="K192" s="33">
        <f t="shared" si="62"/>
        <v>391.91999999999996</v>
      </c>
    </row>
    <row r="193" spans="1:11" s="39" customFormat="1" x14ac:dyDescent="0.2">
      <c r="A193" s="132" t="s">
        <v>297</v>
      </c>
      <c r="B193" s="37" t="s">
        <v>359</v>
      </c>
      <c r="C193" s="40" t="s">
        <v>39</v>
      </c>
      <c r="D193" s="30" t="s">
        <v>37</v>
      </c>
      <c r="E193" s="41">
        <v>20</v>
      </c>
      <c r="F193" s="41">
        <v>2.2599999999999998</v>
      </c>
      <c r="G193" s="41">
        <v>6.58</v>
      </c>
      <c r="H193" s="42">
        <f t="shared" si="59"/>
        <v>45.199999999999996</v>
      </c>
      <c r="I193" s="42">
        <f t="shared" si="60"/>
        <v>131.6</v>
      </c>
      <c r="J193" s="42">
        <f t="shared" si="61"/>
        <v>8.84</v>
      </c>
      <c r="K193" s="33">
        <f t="shared" si="62"/>
        <v>176.8</v>
      </c>
    </row>
    <row r="194" spans="1:11" s="39" customFormat="1" x14ac:dyDescent="0.2">
      <c r="A194" s="132" t="s">
        <v>298</v>
      </c>
      <c r="B194" s="37" t="s">
        <v>360</v>
      </c>
      <c r="C194" s="40" t="s">
        <v>39</v>
      </c>
      <c r="D194" s="30" t="s">
        <v>37</v>
      </c>
      <c r="E194" s="41">
        <v>6</v>
      </c>
      <c r="F194" s="41">
        <v>4.17</v>
      </c>
      <c r="G194" s="41">
        <v>6.58</v>
      </c>
      <c r="H194" s="42">
        <f t="shared" si="59"/>
        <v>25.02</v>
      </c>
      <c r="I194" s="42">
        <f t="shared" si="60"/>
        <v>39.480000000000004</v>
      </c>
      <c r="J194" s="42">
        <f t="shared" si="61"/>
        <v>10.75</v>
      </c>
      <c r="K194" s="33">
        <f t="shared" si="62"/>
        <v>64.5</v>
      </c>
    </row>
    <row r="195" spans="1:11" s="39" customFormat="1" x14ac:dyDescent="0.2">
      <c r="A195" s="132" t="s">
        <v>299</v>
      </c>
      <c r="B195" s="37" t="s">
        <v>149</v>
      </c>
      <c r="C195" s="40" t="s">
        <v>39</v>
      </c>
      <c r="D195" s="30" t="s">
        <v>37</v>
      </c>
      <c r="E195" s="41">
        <v>2</v>
      </c>
      <c r="F195" s="41">
        <v>12.02</v>
      </c>
      <c r="G195" s="41">
        <v>9.1999999999999993</v>
      </c>
      <c r="H195" s="42">
        <f t="shared" si="59"/>
        <v>24.04</v>
      </c>
      <c r="I195" s="42">
        <f t="shared" si="60"/>
        <v>18.399999999999999</v>
      </c>
      <c r="J195" s="42">
        <f t="shared" si="61"/>
        <v>21.22</v>
      </c>
      <c r="K195" s="33">
        <f t="shared" si="62"/>
        <v>42.44</v>
      </c>
    </row>
    <row r="196" spans="1:11" s="39" customFormat="1" ht="30" x14ac:dyDescent="0.2">
      <c r="A196" s="132" t="s">
        <v>300</v>
      </c>
      <c r="B196" s="34" t="s">
        <v>361</v>
      </c>
      <c r="C196" s="109" t="s">
        <v>35</v>
      </c>
      <c r="D196" s="36" t="s">
        <v>399</v>
      </c>
      <c r="E196" s="110">
        <f>4.15+3.55+2.41+2.26+3+1.18+1.95+2.4+3</f>
        <v>23.9</v>
      </c>
      <c r="F196" s="110">
        <f>47.84-14.35</f>
        <v>33.49</v>
      </c>
      <c r="G196" s="110">
        <v>14.35</v>
      </c>
      <c r="H196" s="111">
        <f t="shared" si="59"/>
        <v>800.41099999999994</v>
      </c>
      <c r="I196" s="111">
        <f t="shared" si="60"/>
        <v>342.96499999999997</v>
      </c>
      <c r="J196" s="111">
        <f t="shared" si="61"/>
        <v>47.84</v>
      </c>
      <c r="K196" s="75">
        <f t="shared" si="62"/>
        <v>1143.376</v>
      </c>
    </row>
    <row r="197" spans="1:11" s="39" customFormat="1" x14ac:dyDescent="0.2">
      <c r="A197" s="132" t="s">
        <v>301</v>
      </c>
      <c r="B197" s="37" t="s">
        <v>362</v>
      </c>
      <c r="C197" s="40" t="s">
        <v>39</v>
      </c>
      <c r="D197" s="30" t="s">
        <v>399</v>
      </c>
      <c r="E197" s="41">
        <v>2</v>
      </c>
      <c r="F197" s="41">
        <f>18.58-5.57</f>
        <v>13.009999999999998</v>
      </c>
      <c r="G197" s="41">
        <v>5.57</v>
      </c>
      <c r="H197" s="42">
        <f t="shared" si="59"/>
        <v>26.019999999999996</v>
      </c>
      <c r="I197" s="42">
        <f t="shared" si="60"/>
        <v>11.14</v>
      </c>
      <c r="J197" s="42">
        <f t="shared" si="61"/>
        <v>18.579999999999998</v>
      </c>
      <c r="K197" s="33">
        <f t="shared" si="62"/>
        <v>37.159999999999997</v>
      </c>
    </row>
    <row r="198" spans="1:11" s="39" customFormat="1" x14ac:dyDescent="0.2">
      <c r="A198" s="132" t="s">
        <v>371</v>
      </c>
      <c r="B198" s="37" t="s">
        <v>363</v>
      </c>
      <c r="C198" s="40" t="s">
        <v>39</v>
      </c>
      <c r="D198" s="30" t="s">
        <v>399</v>
      </c>
      <c r="E198" s="41">
        <v>2</v>
      </c>
      <c r="F198" s="41">
        <f>18.21-5.46</f>
        <v>12.75</v>
      </c>
      <c r="G198" s="41">
        <v>5.46</v>
      </c>
      <c r="H198" s="42">
        <f t="shared" si="59"/>
        <v>25.5</v>
      </c>
      <c r="I198" s="42">
        <f t="shared" si="60"/>
        <v>10.92</v>
      </c>
      <c r="J198" s="42">
        <f t="shared" si="61"/>
        <v>18.21</v>
      </c>
      <c r="K198" s="33">
        <f t="shared" si="62"/>
        <v>36.42</v>
      </c>
    </row>
    <row r="199" spans="1:11" s="39" customFormat="1" x14ac:dyDescent="0.2">
      <c r="A199" s="132" t="s">
        <v>372</v>
      </c>
      <c r="B199" s="37" t="s">
        <v>364</v>
      </c>
      <c r="C199" s="40" t="s">
        <v>39</v>
      </c>
      <c r="D199" s="30" t="s">
        <v>399</v>
      </c>
      <c r="E199" s="41">
        <v>4</v>
      </c>
      <c r="F199" s="41">
        <f>18.21-5.46</f>
        <v>12.75</v>
      </c>
      <c r="G199" s="41">
        <v>5.46</v>
      </c>
      <c r="H199" s="42">
        <f t="shared" si="59"/>
        <v>51</v>
      </c>
      <c r="I199" s="42">
        <f t="shared" si="60"/>
        <v>21.84</v>
      </c>
      <c r="J199" s="42">
        <f t="shared" si="61"/>
        <v>18.21</v>
      </c>
      <c r="K199" s="33">
        <f t="shared" si="62"/>
        <v>72.84</v>
      </c>
    </row>
    <row r="200" spans="1:11" s="39" customFormat="1" x14ac:dyDescent="0.2">
      <c r="A200" s="132" t="s">
        <v>373</v>
      </c>
      <c r="B200" s="37" t="s">
        <v>365</v>
      </c>
      <c r="C200" s="40" t="s">
        <v>39</v>
      </c>
      <c r="D200" s="30" t="s">
        <v>399</v>
      </c>
      <c r="E200" s="41">
        <v>1</v>
      </c>
      <c r="F200" s="41">
        <v>17.75</v>
      </c>
      <c r="G200" s="41">
        <v>5.46</v>
      </c>
      <c r="H200" s="42">
        <f t="shared" si="59"/>
        <v>17.75</v>
      </c>
      <c r="I200" s="42">
        <f t="shared" si="60"/>
        <v>5.46</v>
      </c>
      <c r="J200" s="42">
        <f t="shared" si="61"/>
        <v>23.21</v>
      </c>
      <c r="K200" s="33">
        <f t="shared" si="62"/>
        <v>23.21</v>
      </c>
    </row>
    <row r="201" spans="1:11" s="39" customFormat="1" x14ac:dyDescent="0.2">
      <c r="A201" s="132" t="s">
        <v>374</v>
      </c>
      <c r="B201" s="37" t="s">
        <v>366</v>
      </c>
      <c r="C201" s="40" t="s">
        <v>39</v>
      </c>
      <c r="D201" s="30" t="s">
        <v>399</v>
      </c>
      <c r="E201" s="41">
        <v>3</v>
      </c>
      <c r="F201" s="41">
        <v>10.15</v>
      </c>
      <c r="G201" s="41">
        <v>3.92</v>
      </c>
      <c r="H201" s="42">
        <f t="shared" si="59"/>
        <v>30.450000000000003</v>
      </c>
      <c r="I201" s="42">
        <f t="shared" si="60"/>
        <v>11.76</v>
      </c>
      <c r="J201" s="42">
        <f t="shared" si="61"/>
        <v>14.07</v>
      </c>
      <c r="K201" s="33">
        <f t="shared" si="62"/>
        <v>42.21</v>
      </c>
    </row>
    <row r="202" spans="1:11" s="39" customFormat="1" x14ac:dyDescent="0.2">
      <c r="A202" s="132" t="s">
        <v>375</v>
      </c>
      <c r="B202" s="37" t="s">
        <v>367</v>
      </c>
      <c r="C202" s="40" t="s">
        <v>39</v>
      </c>
      <c r="D202" s="30" t="s">
        <v>399</v>
      </c>
      <c r="E202" s="41">
        <v>9</v>
      </c>
      <c r="F202" s="41">
        <f>13.07-3.92</f>
        <v>9.15</v>
      </c>
      <c r="G202" s="41">
        <v>3.92</v>
      </c>
      <c r="H202" s="42">
        <f t="shared" si="59"/>
        <v>82.350000000000009</v>
      </c>
      <c r="I202" s="42">
        <f t="shared" si="60"/>
        <v>35.28</v>
      </c>
      <c r="J202" s="42">
        <f t="shared" si="61"/>
        <v>13.07</v>
      </c>
      <c r="K202" s="33">
        <f t="shared" si="62"/>
        <v>117.63</v>
      </c>
    </row>
    <row r="203" spans="1:11" s="39" customFormat="1" x14ac:dyDescent="0.2">
      <c r="A203" s="132" t="s">
        <v>376</v>
      </c>
      <c r="B203" s="37" t="s">
        <v>148</v>
      </c>
      <c r="C203" s="44" t="s">
        <v>35</v>
      </c>
      <c r="D203" s="30" t="s">
        <v>37</v>
      </c>
      <c r="E203" s="41">
        <v>495</v>
      </c>
      <c r="F203" s="41">
        <v>1.0900000000000001</v>
      </c>
      <c r="G203" s="41">
        <v>0.53</v>
      </c>
      <c r="H203" s="42">
        <f t="shared" si="59"/>
        <v>539.55000000000007</v>
      </c>
      <c r="I203" s="42">
        <f t="shared" si="60"/>
        <v>262.35000000000002</v>
      </c>
      <c r="J203" s="42">
        <f t="shared" si="61"/>
        <v>1.62</v>
      </c>
      <c r="K203" s="33">
        <f t="shared" si="62"/>
        <v>801.90000000000009</v>
      </c>
    </row>
    <row r="204" spans="1:11" s="39" customFormat="1" x14ac:dyDescent="0.2">
      <c r="A204" s="132" t="s">
        <v>377</v>
      </c>
      <c r="B204" s="37" t="s">
        <v>201</v>
      </c>
      <c r="C204" s="44" t="s">
        <v>35</v>
      </c>
      <c r="D204" s="30" t="s">
        <v>37</v>
      </c>
      <c r="E204" s="41">
        <v>860</v>
      </c>
      <c r="F204" s="41">
        <v>1.63</v>
      </c>
      <c r="G204" s="41">
        <v>0.53</v>
      </c>
      <c r="H204" s="42">
        <f t="shared" si="59"/>
        <v>1401.8</v>
      </c>
      <c r="I204" s="42">
        <f t="shared" si="60"/>
        <v>455.8</v>
      </c>
      <c r="J204" s="42">
        <f t="shared" si="61"/>
        <v>2.16</v>
      </c>
      <c r="K204" s="33">
        <f t="shared" si="62"/>
        <v>1857.6000000000001</v>
      </c>
    </row>
    <row r="205" spans="1:11" s="39" customFormat="1" x14ac:dyDescent="0.2">
      <c r="A205" s="132" t="s">
        <v>378</v>
      </c>
      <c r="B205" s="37" t="s">
        <v>368</v>
      </c>
      <c r="C205" s="44" t="s">
        <v>35</v>
      </c>
      <c r="D205" s="30" t="s">
        <v>37</v>
      </c>
      <c r="E205" s="41">
        <v>3</v>
      </c>
      <c r="F205" s="41">
        <v>2.2999999999999998</v>
      </c>
      <c r="G205" s="41">
        <v>0.53</v>
      </c>
      <c r="H205" s="42">
        <f t="shared" si="59"/>
        <v>6.8999999999999995</v>
      </c>
      <c r="I205" s="42">
        <f t="shared" si="60"/>
        <v>1.59</v>
      </c>
      <c r="J205" s="42">
        <f t="shared" si="61"/>
        <v>2.83</v>
      </c>
      <c r="K205" s="33">
        <f t="shared" si="62"/>
        <v>8.49</v>
      </c>
    </row>
    <row r="206" spans="1:11" s="39" customFormat="1" x14ac:dyDescent="0.2">
      <c r="A206" s="132" t="s">
        <v>379</v>
      </c>
      <c r="B206" s="37" t="s">
        <v>369</v>
      </c>
      <c r="C206" s="40" t="s">
        <v>35</v>
      </c>
      <c r="D206" s="30" t="s">
        <v>37</v>
      </c>
      <c r="E206" s="41">
        <f>20*4</f>
        <v>80</v>
      </c>
      <c r="F206" s="41">
        <v>5.72</v>
      </c>
      <c r="G206" s="41">
        <v>0.79</v>
      </c>
      <c r="H206" s="42">
        <f t="shared" si="59"/>
        <v>457.59999999999997</v>
      </c>
      <c r="I206" s="42">
        <f t="shared" si="60"/>
        <v>63.2</v>
      </c>
      <c r="J206" s="42">
        <f t="shared" si="61"/>
        <v>6.51</v>
      </c>
      <c r="K206" s="33">
        <f t="shared" si="62"/>
        <v>520.79999999999995</v>
      </c>
    </row>
    <row r="207" spans="1:11" s="39" customFormat="1" ht="60" x14ac:dyDescent="0.2">
      <c r="A207" s="132" t="s">
        <v>380</v>
      </c>
      <c r="B207" s="34" t="s">
        <v>150</v>
      </c>
      <c r="C207" s="107" t="s">
        <v>39</v>
      </c>
      <c r="D207" s="107" t="s">
        <v>38</v>
      </c>
      <c r="E207" s="108">
        <v>6</v>
      </c>
      <c r="F207" s="108">
        <v>112.03</v>
      </c>
      <c r="G207" s="108">
        <v>13.428000000000001</v>
      </c>
      <c r="H207" s="108">
        <f t="shared" si="59"/>
        <v>672.18000000000006</v>
      </c>
      <c r="I207" s="108">
        <f t="shared" si="60"/>
        <v>80.568000000000012</v>
      </c>
      <c r="J207" s="108">
        <f t="shared" si="61"/>
        <v>125.458</v>
      </c>
      <c r="K207" s="75">
        <f t="shared" si="62"/>
        <v>752.74800000000005</v>
      </c>
    </row>
    <row r="208" spans="1:11" s="39" customFormat="1" ht="75" x14ac:dyDescent="0.2">
      <c r="A208" s="132" t="s">
        <v>381</v>
      </c>
      <c r="B208" s="34" t="s">
        <v>151</v>
      </c>
      <c r="C208" s="107" t="s">
        <v>39</v>
      </c>
      <c r="D208" s="107" t="s">
        <v>38</v>
      </c>
      <c r="E208" s="108">
        <v>4</v>
      </c>
      <c r="F208" s="108">
        <f>F207+407.08</f>
        <v>519.11</v>
      </c>
      <c r="G208" s="108">
        <f>G207+8.34</f>
        <v>21.768000000000001</v>
      </c>
      <c r="H208" s="108">
        <f t="shared" si="59"/>
        <v>2076.44</v>
      </c>
      <c r="I208" s="108">
        <f t="shared" si="60"/>
        <v>87.072000000000003</v>
      </c>
      <c r="J208" s="108">
        <f t="shared" si="61"/>
        <v>540.87800000000004</v>
      </c>
      <c r="K208" s="75">
        <f t="shared" si="62"/>
        <v>2163.5120000000002</v>
      </c>
    </row>
    <row r="209" spans="1:11" s="39" customFormat="1" ht="90" x14ac:dyDescent="0.2">
      <c r="A209" s="132" t="s">
        <v>382</v>
      </c>
      <c r="B209" s="34" t="s">
        <v>152</v>
      </c>
      <c r="C209" s="107" t="s">
        <v>39</v>
      </c>
      <c r="D209" s="107" t="s">
        <v>38</v>
      </c>
      <c r="E209" s="108">
        <v>2</v>
      </c>
      <c r="F209" s="108">
        <v>72.709999999999994</v>
      </c>
      <c r="G209" s="108">
        <v>12.31</v>
      </c>
      <c r="H209" s="108">
        <f t="shared" si="59"/>
        <v>145.41999999999999</v>
      </c>
      <c r="I209" s="108">
        <f t="shared" si="60"/>
        <v>24.62</v>
      </c>
      <c r="J209" s="108">
        <f t="shared" si="61"/>
        <v>85.02</v>
      </c>
      <c r="K209" s="75">
        <f t="shared" si="62"/>
        <v>170.04</v>
      </c>
    </row>
    <row r="210" spans="1:11" s="39" customFormat="1" ht="105" x14ac:dyDescent="0.2">
      <c r="A210" s="132" t="s">
        <v>383</v>
      </c>
      <c r="B210" s="34" t="s">
        <v>370</v>
      </c>
      <c r="C210" s="107" t="s">
        <v>39</v>
      </c>
      <c r="D210" s="107" t="s">
        <v>38</v>
      </c>
      <c r="E210" s="108">
        <v>2</v>
      </c>
      <c r="F210" s="108">
        <f>F209+407.08</f>
        <v>479.78999999999996</v>
      </c>
      <c r="G210" s="108">
        <v>12.31</v>
      </c>
      <c r="H210" s="108">
        <f t="shared" si="59"/>
        <v>959.57999999999993</v>
      </c>
      <c r="I210" s="108">
        <f t="shared" si="60"/>
        <v>24.62</v>
      </c>
      <c r="J210" s="108">
        <f t="shared" si="61"/>
        <v>492.09999999999997</v>
      </c>
      <c r="K210" s="75">
        <f t="shared" si="62"/>
        <v>984.19999999999993</v>
      </c>
    </row>
    <row r="211" spans="1:11" s="39" customFormat="1" ht="60" x14ac:dyDescent="0.2">
      <c r="A211" s="132" t="s">
        <v>384</v>
      </c>
      <c r="B211" s="34" t="s">
        <v>398</v>
      </c>
      <c r="C211" s="107" t="s">
        <v>39</v>
      </c>
      <c r="D211" s="107" t="s">
        <v>37</v>
      </c>
      <c r="E211" s="108">
        <v>4</v>
      </c>
      <c r="F211" s="108">
        <v>63.84</v>
      </c>
      <c r="G211" s="108">
        <v>10.51</v>
      </c>
      <c r="H211" s="108">
        <f t="shared" si="59"/>
        <v>255.36</v>
      </c>
      <c r="I211" s="108">
        <f t="shared" si="60"/>
        <v>42.04</v>
      </c>
      <c r="J211" s="108">
        <f t="shared" si="61"/>
        <v>74.350000000000009</v>
      </c>
      <c r="K211" s="75">
        <f t="shared" si="62"/>
        <v>297.40000000000003</v>
      </c>
    </row>
    <row r="212" spans="1:11" s="39" customFormat="1" ht="60" x14ac:dyDescent="0.2">
      <c r="A212" s="132" t="s">
        <v>385</v>
      </c>
      <c r="B212" s="34" t="s">
        <v>153</v>
      </c>
      <c r="C212" s="107" t="s">
        <v>39</v>
      </c>
      <c r="D212" s="107" t="s">
        <v>37</v>
      </c>
      <c r="E212" s="108">
        <v>3</v>
      </c>
      <c r="F212" s="108">
        <v>63.84</v>
      </c>
      <c r="G212" s="108">
        <v>10.51</v>
      </c>
      <c r="H212" s="108">
        <f t="shared" si="59"/>
        <v>191.52</v>
      </c>
      <c r="I212" s="108">
        <f t="shared" si="60"/>
        <v>31.53</v>
      </c>
      <c r="J212" s="108">
        <f t="shared" si="61"/>
        <v>74.350000000000009</v>
      </c>
      <c r="K212" s="75">
        <f t="shared" si="62"/>
        <v>223.05</v>
      </c>
    </row>
    <row r="213" spans="1:11" s="39" customFormat="1" x14ac:dyDescent="0.2">
      <c r="A213" s="132" t="s">
        <v>386</v>
      </c>
      <c r="B213" s="37" t="s">
        <v>202</v>
      </c>
      <c r="C213" s="38" t="s">
        <v>39</v>
      </c>
      <c r="D213" s="30" t="s">
        <v>37</v>
      </c>
      <c r="E213" s="41">
        <v>2</v>
      </c>
      <c r="F213" s="41">
        <v>207.5</v>
      </c>
      <c r="G213" s="41">
        <v>7.89</v>
      </c>
      <c r="H213" s="42">
        <f t="shared" si="59"/>
        <v>415</v>
      </c>
      <c r="I213" s="42">
        <f t="shared" si="60"/>
        <v>15.78</v>
      </c>
      <c r="J213" s="42">
        <f t="shared" si="61"/>
        <v>215.39</v>
      </c>
      <c r="K213" s="33">
        <f t="shared" si="62"/>
        <v>430.78</v>
      </c>
    </row>
    <row r="214" spans="1:11" s="39" customFormat="1" x14ac:dyDescent="0.2">
      <c r="A214" s="132" t="s">
        <v>387</v>
      </c>
      <c r="B214" s="37" t="s">
        <v>203</v>
      </c>
      <c r="C214" s="38" t="s">
        <v>3</v>
      </c>
      <c r="D214" s="30" t="s">
        <v>37</v>
      </c>
      <c r="E214" s="41">
        <f>E212+E211+E210+E209+E208+E207</f>
        <v>21</v>
      </c>
      <c r="F214" s="41">
        <v>4.67</v>
      </c>
      <c r="G214" s="41">
        <v>5.25</v>
      </c>
      <c r="H214" s="42">
        <f t="shared" si="59"/>
        <v>98.07</v>
      </c>
      <c r="I214" s="42">
        <f t="shared" si="60"/>
        <v>110.25</v>
      </c>
      <c r="J214" s="42">
        <f t="shared" si="61"/>
        <v>9.92</v>
      </c>
      <c r="K214" s="33">
        <f t="shared" si="62"/>
        <v>208.32</v>
      </c>
    </row>
    <row r="215" spans="1:11" s="39" customFormat="1" ht="15.75" x14ac:dyDescent="0.25">
      <c r="A215" s="132"/>
      <c r="B215" s="45" t="s">
        <v>157</v>
      </c>
      <c r="C215" s="46"/>
      <c r="D215" s="46"/>
      <c r="E215" s="46"/>
      <c r="F215" s="46"/>
      <c r="G215" s="46"/>
      <c r="H215" s="42"/>
      <c r="I215" s="42"/>
      <c r="J215" s="42"/>
      <c r="K215" s="42"/>
    </row>
    <row r="216" spans="1:11" s="39" customFormat="1" x14ac:dyDescent="0.2">
      <c r="A216" s="132" t="s">
        <v>388</v>
      </c>
      <c r="B216" s="37" t="s">
        <v>147</v>
      </c>
      <c r="C216" s="40" t="s">
        <v>35</v>
      </c>
      <c r="D216" s="30"/>
      <c r="E216" s="41">
        <v>3</v>
      </c>
      <c r="F216" s="41">
        <v>1.47</v>
      </c>
      <c r="G216" s="41">
        <v>7.89</v>
      </c>
      <c r="H216" s="42">
        <f t="shared" si="59"/>
        <v>4.41</v>
      </c>
      <c r="I216" s="42">
        <f t="shared" si="60"/>
        <v>23.669999999999998</v>
      </c>
      <c r="J216" s="42">
        <f t="shared" si="61"/>
        <v>9.36</v>
      </c>
      <c r="K216" s="33">
        <f t="shared" si="62"/>
        <v>28.08</v>
      </c>
    </row>
    <row r="217" spans="1:11" s="39" customFormat="1" x14ac:dyDescent="0.2">
      <c r="A217" s="132" t="s">
        <v>389</v>
      </c>
      <c r="B217" s="37" t="s">
        <v>367</v>
      </c>
      <c r="C217" s="40" t="s">
        <v>39</v>
      </c>
      <c r="D217" s="30"/>
      <c r="E217" s="41">
        <v>9</v>
      </c>
      <c r="F217" s="104">
        <v>9.15</v>
      </c>
      <c r="G217" s="104">
        <v>3.92</v>
      </c>
      <c r="H217" s="42">
        <f t="shared" si="59"/>
        <v>82.350000000000009</v>
      </c>
      <c r="I217" s="33">
        <f t="shared" si="60"/>
        <v>35.28</v>
      </c>
      <c r="J217" s="42">
        <f t="shared" si="61"/>
        <v>13.07</v>
      </c>
      <c r="K217" s="33">
        <f t="shared" si="62"/>
        <v>117.63</v>
      </c>
    </row>
    <row r="218" spans="1:11" s="39" customFormat="1" ht="15.75" x14ac:dyDescent="0.25">
      <c r="A218" s="128"/>
      <c r="B218" s="48" t="s">
        <v>61</v>
      </c>
      <c r="C218" s="271"/>
      <c r="D218" s="271"/>
      <c r="E218" s="271"/>
      <c r="F218" s="271"/>
      <c r="G218" s="271"/>
      <c r="H218" s="271"/>
      <c r="I218" s="271"/>
      <c r="J218" s="271"/>
      <c r="K218" s="49">
        <f>SUM(K176:K217)</f>
        <v>17054.225999999999</v>
      </c>
    </row>
    <row r="219" spans="1:11" s="39" customFormat="1" ht="15.75" x14ac:dyDescent="0.25">
      <c r="A219" s="129">
        <v>19</v>
      </c>
      <c r="B219" s="88" t="s">
        <v>18</v>
      </c>
      <c r="C219" s="147"/>
      <c r="D219" s="147"/>
      <c r="E219" s="147"/>
      <c r="F219" s="147"/>
      <c r="G219" s="147"/>
      <c r="H219" s="147"/>
      <c r="I219" s="147"/>
      <c r="J219" s="147"/>
      <c r="K219" s="147"/>
    </row>
    <row r="220" spans="1:11" s="39" customFormat="1" x14ac:dyDescent="0.2">
      <c r="A220" s="128" t="s">
        <v>302</v>
      </c>
      <c r="B220" s="58" t="s">
        <v>116</v>
      </c>
      <c r="C220" s="147" t="s">
        <v>41</v>
      </c>
      <c r="D220" s="30" t="s">
        <v>38</v>
      </c>
      <c r="E220" s="33">
        <v>156.01</v>
      </c>
      <c r="F220" s="32">
        <f xml:space="preserve"> 4.952-1.89+2.78*1.1</f>
        <v>6.12</v>
      </c>
      <c r="G220" s="32">
        <v>9.5260200000000008</v>
      </c>
      <c r="H220" s="33">
        <f>E220*F220</f>
        <v>954.78120000000001</v>
      </c>
      <c r="I220" s="33">
        <f>E220*G220</f>
        <v>1486.1543802000001</v>
      </c>
      <c r="J220" s="33">
        <f>F220+G220</f>
        <v>15.64602</v>
      </c>
      <c r="K220" s="33">
        <f t="shared" ref="K220:K223" si="63">J220*E220</f>
        <v>2440.9355802</v>
      </c>
    </row>
    <row r="221" spans="1:11" s="39" customFormat="1" ht="30" x14ac:dyDescent="0.2">
      <c r="A221" s="128" t="s">
        <v>303</v>
      </c>
      <c r="B221" s="58" t="s">
        <v>195</v>
      </c>
      <c r="C221" s="147" t="s">
        <v>41</v>
      </c>
      <c r="D221" s="30" t="s">
        <v>38</v>
      </c>
      <c r="E221" s="33">
        <f>E92+55.92</f>
        <v>152.34</v>
      </c>
      <c r="F221" s="32">
        <f>4.952-1.89+3.47*1.1</f>
        <v>6.8790000000000013</v>
      </c>
      <c r="G221" s="32">
        <v>9.5260200000000008</v>
      </c>
      <c r="H221" s="33">
        <f>E221*F221</f>
        <v>1047.9468600000002</v>
      </c>
      <c r="I221" s="33">
        <f>E221*G221</f>
        <v>1451.1938868000002</v>
      </c>
      <c r="J221" s="33">
        <f>F221+G221</f>
        <v>16.40502</v>
      </c>
      <c r="K221" s="33">
        <f t="shared" si="63"/>
        <v>2499.1407468000002</v>
      </c>
    </row>
    <row r="222" spans="1:11" s="39" customFormat="1" x14ac:dyDescent="0.2">
      <c r="A222" s="128" t="s">
        <v>304</v>
      </c>
      <c r="B222" s="58" t="s">
        <v>110</v>
      </c>
      <c r="C222" s="147" t="s">
        <v>41</v>
      </c>
      <c r="D222" s="30" t="s">
        <v>38</v>
      </c>
      <c r="E222" s="33">
        <v>156.01</v>
      </c>
      <c r="F222" s="32">
        <v>4.4669999999999996</v>
      </c>
      <c r="G222" s="32">
        <v>5.6920799999999998</v>
      </c>
      <c r="H222" s="33">
        <f>E222*F222</f>
        <v>696.89666999999986</v>
      </c>
      <c r="I222" s="33">
        <f>E222*G222</f>
        <v>888.02140079999992</v>
      </c>
      <c r="J222" s="33">
        <f>F222+G222</f>
        <v>10.159079999999999</v>
      </c>
      <c r="K222" s="33">
        <f t="shared" si="63"/>
        <v>1584.9180707999999</v>
      </c>
    </row>
    <row r="223" spans="1:11" s="39" customFormat="1" ht="30" x14ac:dyDescent="0.2">
      <c r="A223" s="128" t="s">
        <v>305</v>
      </c>
      <c r="B223" s="58" t="s">
        <v>194</v>
      </c>
      <c r="C223" s="147" t="s">
        <v>41</v>
      </c>
      <c r="D223" s="30" t="s">
        <v>38</v>
      </c>
      <c r="E223" s="33">
        <v>342.56</v>
      </c>
      <c r="F223" s="32">
        <f>F221+F22</f>
        <v>7.0890000000000013</v>
      </c>
      <c r="G223" s="32">
        <f>G221+G22</f>
        <v>12.336020000000001</v>
      </c>
      <c r="H223" s="33">
        <f>E223*F223</f>
        <v>2428.4078400000003</v>
      </c>
      <c r="I223" s="33">
        <f>E223*G223</f>
        <v>4225.8270112000009</v>
      </c>
      <c r="J223" s="33">
        <f>F223+G223</f>
        <v>19.425020000000004</v>
      </c>
      <c r="K223" s="33">
        <f t="shared" si="63"/>
        <v>6654.2348512000017</v>
      </c>
    </row>
    <row r="224" spans="1:11" s="39" customFormat="1" ht="15.75" x14ac:dyDescent="0.25">
      <c r="A224" s="128"/>
      <c r="B224" s="48" t="s">
        <v>61</v>
      </c>
      <c r="C224" s="272"/>
      <c r="D224" s="273"/>
      <c r="E224" s="273"/>
      <c r="F224" s="273"/>
      <c r="G224" s="273"/>
      <c r="H224" s="273"/>
      <c r="I224" s="273"/>
      <c r="J224" s="274"/>
      <c r="K224" s="67">
        <f>SUM(K220:K223)</f>
        <v>13179.229249000004</v>
      </c>
    </row>
    <row r="225" spans="1:11" s="39" customFormat="1" ht="15.75" x14ac:dyDescent="0.25">
      <c r="A225" s="129">
        <v>20</v>
      </c>
      <c r="B225" s="89" t="s">
        <v>325</v>
      </c>
      <c r="C225" s="90"/>
      <c r="D225" s="90"/>
      <c r="E225" s="90"/>
      <c r="F225" s="90"/>
      <c r="G225" s="90"/>
      <c r="H225" s="90"/>
      <c r="I225" s="90"/>
      <c r="J225" s="90"/>
      <c r="K225" s="67"/>
    </row>
    <row r="226" spans="1:11" s="39" customFormat="1" ht="15.75" x14ac:dyDescent="0.25">
      <c r="A226" s="129" t="s">
        <v>306</v>
      </c>
      <c r="B226" s="89" t="s">
        <v>339</v>
      </c>
      <c r="C226" s="90"/>
      <c r="D226" s="90"/>
      <c r="E226" s="90"/>
      <c r="F226" s="90"/>
      <c r="G226" s="90"/>
      <c r="H226" s="90"/>
      <c r="I226" s="90"/>
      <c r="J226" s="90"/>
      <c r="K226" s="67"/>
    </row>
    <row r="227" spans="1:11" s="39" customFormat="1" x14ac:dyDescent="0.2">
      <c r="A227" s="128" t="s">
        <v>340</v>
      </c>
      <c r="B227" s="71" t="s">
        <v>329</v>
      </c>
      <c r="C227" s="147" t="s">
        <v>39</v>
      </c>
      <c r="D227" s="30" t="s">
        <v>350</v>
      </c>
      <c r="E227" s="33">
        <v>2</v>
      </c>
      <c r="F227" s="33">
        <v>3450</v>
      </c>
      <c r="G227" s="33">
        <v>75.88</v>
      </c>
      <c r="H227" s="33">
        <f>E227*F227</f>
        <v>6900</v>
      </c>
      <c r="I227" s="33">
        <f>E227*G227</f>
        <v>151.76</v>
      </c>
      <c r="J227" s="33">
        <f>F227+G227</f>
        <v>3525.88</v>
      </c>
      <c r="K227" s="33">
        <f t="shared" ref="K227:K236" si="64">J227*E227</f>
        <v>7051.76</v>
      </c>
    </row>
    <row r="228" spans="1:11" s="39" customFormat="1" x14ac:dyDescent="0.2">
      <c r="A228" s="128" t="s">
        <v>341</v>
      </c>
      <c r="B228" s="71" t="s">
        <v>330</v>
      </c>
      <c r="C228" s="147" t="s">
        <v>39</v>
      </c>
      <c r="D228" s="30" t="s">
        <v>350</v>
      </c>
      <c r="E228" s="33">
        <v>12</v>
      </c>
      <c r="F228" s="33">
        <v>87</v>
      </c>
      <c r="G228" s="33">
        <v>38</v>
      </c>
      <c r="H228" s="33">
        <f t="shared" ref="H228:H236" si="65">E228*F228</f>
        <v>1044</v>
      </c>
      <c r="I228" s="33">
        <f t="shared" ref="I228:I235" si="66">E228*G228</f>
        <v>456</v>
      </c>
      <c r="J228" s="33">
        <f t="shared" ref="J228:J235" si="67">F228+G228</f>
        <v>125</v>
      </c>
      <c r="K228" s="33">
        <f t="shared" si="64"/>
        <v>1500</v>
      </c>
    </row>
    <row r="229" spans="1:11" s="39" customFormat="1" x14ac:dyDescent="0.2">
      <c r="A229" s="128" t="s">
        <v>342</v>
      </c>
      <c r="B229" s="71" t="s">
        <v>331</v>
      </c>
      <c r="C229" s="147" t="s">
        <v>35</v>
      </c>
      <c r="D229" s="30" t="s">
        <v>350</v>
      </c>
      <c r="E229" s="33">
        <v>54</v>
      </c>
      <c r="F229" s="33">
        <v>125</v>
      </c>
      <c r="G229" s="33">
        <v>45</v>
      </c>
      <c r="H229" s="33">
        <f t="shared" si="65"/>
        <v>6750</v>
      </c>
      <c r="I229" s="33">
        <f t="shared" si="66"/>
        <v>2430</v>
      </c>
      <c r="J229" s="33">
        <f t="shared" si="67"/>
        <v>170</v>
      </c>
      <c r="K229" s="33">
        <f t="shared" si="64"/>
        <v>9180</v>
      </c>
    </row>
    <row r="230" spans="1:11" s="39" customFormat="1" x14ac:dyDescent="0.2">
      <c r="A230" s="128" t="s">
        <v>343</v>
      </c>
      <c r="B230" s="71" t="s">
        <v>332</v>
      </c>
      <c r="C230" s="147" t="s">
        <v>44</v>
      </c>
      <c r="D230" s="30" t="s">
        <v>350</v>
      </c>
      <c r="E230" s="33">
        <v>4</v>
      </c>
      <c r="F230" s="33">
        <v>65</v>
      </c>
      <c r="G230" s="33">
        <v>35</v>
      </c>
      <c r="H230" s="33">
        <f t="shared" si="65"/>
        <v>260</v>
      </c>
      <c r="I230" s="33">
        <f t="shared" si="66"/>
        <v>140</v>
      </c>
      <c r="J230" s="33">
        <f t="shared" si="67"/>
        <v>100</v>
      </c>
      <c r="K230" s="33">
        <f t="shared" si="64"/>
        <v>400</v>
      </c>
    </row>
    <row r="231" spans="1:11" s="39" customFormat="1" x14ac:dyDescent="0.2">
      <c r="A231" s="128" t="s">
        <v>344</v>
      </c>
      <c r="B231" s="71" t="s">
        <v>333</v>
      </c>
      <c r="C231" s="147" t="s">
        <v>44</v>
      </c>
      <c r="D231" s="30" t="s">
        <v>350</v>
      </c>
      <c r="E231" s="33">
        <v>8</v>
      </c>
      <c r="F231" s="33">
        <v>65</v>
      </c>
      <c r="G231" s="33">
        <v>35</v>
      </c>
      <c r="H231" s="33">
        <f t="shared" si="65"/>
        <v>520</v>
      </c>
      <c r="I231" s="33">
        <f t="shared" si="66"/>
        <v>280</v>
      </c>
      <c r="J231" s="33">
        <f t="shared" si="67"/>
        <v>100</v>
      </c>
      <c r="K231" s="33">
        <f t="shared" si="64"/>
        <v>800</v>
      </c>
    </row>
    <row r="232" spans="1:11" s="39" customFormat="1" x14ac:dyDescent="0.2">
      <c r="A232" s="128" t="s">
        <v>345</v>
      </c>
      <c r="B232" s="71" t="s">
        <v>334</v>
      </c>
      <c r="C232" s="147" t="s">
        <v>44</v>
      </c>
      <c r="D232" s="30" t="s">
        <v>350</v>
      </c>
      <c r="E232" s="33">
        <v>4</v>
      </c>
      <c r="F232" s="33">
        <v>23</v>
      </c>
      <c r="G232" s="33">
        <v>35</v>
      </c>
      <c r="H232" s="33">
        <f t="shared" si="65"/>
        <v>92</v>
      </c>
      <c r="I232" s="33">
        <f t="shared" si="66"/>
        <v>140</v>
      </c>
      <c r="J232" s="33">
        <f>F232+G232</f>
        <v>58</v>
      </c>
      <c r="K232" s="33">
        <f t="shared" si="64"/>
        <v>232</v>
      </c>
    </row>
    <row r="233" spans="1:11" s="39" customFormat="1" x14ac:dyDescent="0.2">
      <c r="A233" s="128" t="s">
        <v>346</v>
      </c>
      <c r="B233" s="68" t="s">
        <v>335</v>
      </c>
      <c r="C233" s="147" t="s">
        <v>50</v>
      </c>
      <c r="D233" s="30" t="s">
        <v>350</v>
      </c>
      <c r="E233" s="33">
        <v>110</v>
      </c>
      <c r="F233" s="33">
        <v>6.1</v>
      </c>
      <c r="G233" s="33">
        <v>7.5</v>
      </c>
      <c r="H233" s="33">
        <f t="shared" si="65"/>
        <v>671</v>
      </c>
      <c r="I233" s="33">
        <f t="shared" si="66"/>
        <v>825</v>
      </c>
      <c r="J233" s="33">
        <f t="shared" si="67"/>
        <v>13.6</v>
      </c>
      <c r="K233" s="33">
        <f t="shared" si="64"/>
        <v>1496</v>
      </c>
    </row>
    <row r="234" spans="1:11" s="39" customFormat="1" x14ac:dyDescent="0.2">
      <c r="A234" s="128" t="s">
        <v>347</v>
      </c>
      <c r="B234" s="68" t="s">
        <v>336</v>
      </c>
      <c r="C234" s="147" t="s">
        <v>44</v>
      </c>
      <c r="D234" s="30" t="s">
        <v>350</v>
      </c>
      <c r="E234" s="33">
        <v>8</v>
      </c>
      <c r="F234" s="33">
        <v>11.2</v>
      </c>
      <c r="G234" s="33">
        <v>5.5</v>
      </c>
      <c r="H234" s="33">
        <f t="shared" si="65"/>
        <v>89.6</v>
      </c>
      <c r="I234" s="33">
        <f t="shared" si="66"/>
        <v>44</v>
      </c>
      <c r="J234" s="33">
        <f t="shared" si="67"/>
        <v>16.7</v>
      </c>
      <c r="K234" s="33">
        <f t="shared" si="64"/>
        <v>133.6</v>
      </c>
    </row>
    <row r="235" spans="1:11" s="39" customFormat="1" x14ac:dyDescent="0.2">
      <c r="A235" s="128" t="s">
        <v>348</v>
      </c>
      <c r="B235" s="68" t="s">
        <v>337</v>
      </c>
      <c r="C235" s="147" t="s">
        <v>44</v>
      </c>
      <c r="D235" s="30" t="s">
        <v>350</v>
      </c>
      <c r="E235" s="33">
        <v>2</v>
      </c>
      <c r="F235" s="33">
        <v>132</v>
      </c>
      <c r="G235" s="33">
        <v>55</v>
      </c>
      <c r="H235" s="33">
        <f t="shared" si="65"/>
        <v>264</v>
      </c>
      <c r="I235" s="33">
        <f t="shared" si="66"/>
        <v>110</v>
      </c>
      <c r="J235" s="33">
        <f t="shared" si="67"/>
        <v>187</v>
      </c>
      <c r="K235" s="33">
        <f t="shared" si="64"/>
        <v>374</v>
      </c>
    </row>
    <row r="236" spans="1:11" s="39" customFormat="1" x14ac:dyDescent="0.2">
      <c r="A236" s="128" t="s">
        <v>349</v>
      </c>
      <c r="B236" s="68" t="s">
        <v>338</v>
      </c>
      <c r="C236" s="147" t="s">
        <v>35</v>
      </c>
      <c r="D236" s="30" t="s">
        <v>350</v>
      </c>
      <c r="E236" s="33">
        <v>2.4</v>
      </c>
      <c r="F236" s="33">
        <v>24</v>
      </c>
      <c r="G236" s="33">
        <v>15</v>
      </c>
      <c r="H236" s="33">
        <f t="shared" si="65"/>
        <v>57.599999999999994</v>
      </c>
      <c r="I236" s="33">
        <f>E236*G236</f>
        <v>36</v>
      </c>
      <c r="J236" s="33">
        <f>F236+G236</f>
        <v>39</v>
      </c>
      <c r="K236" s="33">
        <f t="shared" si="64"/>
        <v>93.6</v>
      </c>
    </row>
    <row r="237" spans="1:11" s="39" customFormat="1" ht="15.75" x14ac:dyDescent="0.25">
      <c r="A237" s="128"/>
      <c r="B237" s="48" t="s">
        <v>61</v>
      </c>
      <c r="C237" s="271"/>
      <c r="D237" s="271"/>
      <c r="E237" s="271"/>
      <c r="F237" s="271"/>
      <c r="G237" s="271"/>
      <c r="H237" s="271"/>
      <c r="I237" s="271"/>
      <c r="J237" s="271"/>
      <c r="K237" s="67">
        <f>SUM(K227:K236)</f>
        <v>21260.959999999999</v>
      </c>
    </row>
    <row r="238" spans="1:11" s="5" customFormat="1" ht="15.75" x14ac:dyDescent="0.25">
      <c r="A238" s="129">
        <v>21</v>
      </c>
      <c r="B238" s="54" t="s">
        <v>20</v>
      </c>
      <c r="C238" s="80"/>
      <c r="D238" s="80"/>
      <c r="E238" s="80"/>
      <c r="F238" s="80"/>
      <c r="G238" s="80"/>
      <c r="H238" s="80"/>
      <c r="I238" s="80"/>
      <c r="J238" s="80"/>
      <c r="K238" s="80"/>
    </row>
    <row r="239" spans="1:11" s="39" customFormat="1" x14ac:dyDescent="0.2">
      <c r="A239" s="128" t="s">
        <v>326</v>
      </c>
      <c r="B239" s="28" t="s">
        <v>187</v>
      </c>
      <c r="C239" s="77" t="s">
        <v>41</v>
      </c>
      <c r="D239" s="30" t="s">
        <v>37</v>
      </c>
      <c r="E239" s="33">
        <v>167</v>
      </c>
      <c r="F239" s="78">
        <v>0</v>
      </c>
      <c r="G239" s="32">
        <v>4.71</v>
      </c>
      <c r="H239" s="33">
        <f>E239*F239</f>
        <v>0</v>
      </c>
      <c r="I239" s="33">
        <f>E239*G239</f>
        <v>786.57</v>
      </c>
      <c r="J239" s="33">
        <f>F239+G239</f>
        <v>4.71</v>
      </c>
      <c r="K239" s="33">
        <f t="shared" ref="K239:K241" si="68">J239*E239</f>
        <v>786.57</v>
      </c>
    </row>
    <row r="240" spans="1:11" s="39" customFormat="1" x14ac:dyDescent="0.2">
      <c r="A240" s="128" t="s">
        <v>327</v>
      </c>
      <c r="B240" s="28" t="s">
        <v>311</v>
      </c>
      <c r="C240" s="77" t="s">
        <v>41</v>
      </c>
      <c r="D240" s="30" t="s">
        <v>205</v>
      </c>
      <c r="E240" s="33">
        <v>3</v>
      </c>
      <c r="F240" s="78">
        <v>120.02</v>
      </c>
      <c r="G240" s="32">
        <v>134.44999999999999</v>
      </c>
      <c r="H240" s="33">
        <f>E240*F240</f>
        <v>360.06</v>
      </c>
      <c r="I240" s="33">
        <f>E240*G240</f>
        <v>403.34999999999997</v>
      </c>
      <c r="J240" s="33">
        <f>F240+G240</f>
        <v>254.46999999999997</v>
      </c>
      <c r="K240" s="33">
        <f t="shared" si="68"/>
        <v>763.40999999999985</v>
      </c>
    </row>
    <row r="241" spans="1:11" s="39" customFormat="1" x14ac:dyDescent="0.2">
      <c r="A241" s="128" t="s">
        <v>328</v>
      </c>
      <c r="B241" s="50" t="s">
        <v>69</v>
      </c>
      <c r="C241" s="77" t="s">
        <v>41</v>
      </c>
      <c r="D241" s="30" t="s">
        <v>37</v>
      </c>
      <c r="E241" s="91">
        <v>2</v>
      </c>
      <c r="F241" s="91">
        <v>514.46</v>
      </c>
      <c r="G241" s="91">
        <v>0</v>
      </c>
      <c r="H241" s="33">
        <f>E241*F241</f>
        <v>1028.92</v>
      </c>
      <c r="I241" s="33">
        <f>E241*G241</f>
        <v>0</v>
      </c>
      <c r="J241" s="33">
        <f>F241+G241</f>
        <v>514.46</v>
      </c>
      <c r="K241" s="33">
        <f t="shared" si="68"/>
        <v>1028.92</v>
      </c>
    </row>
    <row r="242" spans="1:11" ht="15.75" x14ac:dyDescent="0.25">
      <c r="A242" s="133"/>
      <c r="B242" s="16" t="s">
        <v>61</v>
      </c>
      <c r="C242" s="270"/>
      <c r="D242" s="270"/>
      <c r="E242" s="270"/>
      <c r="F242" s="270"/>
      <c r="G242" s="270"/>
      <c r="H242" s="270"/>
      <c r="I242" s="270"/>
      <c r="J242" s="270"/>
      <c r="K242" s="4">
        <f>SUM(K239:K241)</f>
        <v>2578.9</v>
      </c>
    </row>
    <row r="243" spans="1:11" ht="15.75" x14ac:dyDescent="0.25">
      <c r="A243" s="133"/>
      <c r="B243" s="20"/>
      <c r="C243" s="17"/>
      <c r="D243" s="17"/>
      <c r="E243" s="18"/>
      <c r="F243" s="18"/>
      <c r="G243" s="18"/>
      <c r="H243" s="18"/>
      <c r="I243" s="18"/>
      <c r="J243" s="19"/>
      <c r="K243" s="3"/>
    </row>
    <row r="244" spans="1:11" ht="15.75" x14ac:dyDescent="0.25">
      <c r="A244" s="133"/>
      <c r="B244" s="20"/>
      <c r="C244" s="22"/>
      <c r="D244" s="22"/>
      <c r="E244" s="22"/>
      <c r="F244" s="22"/>
      <c r="G244" s="22"/>
      <c r="H244" s="266" t="s">
        <v>56</v>
      </c>
      <c r="I244" s="266"/>
      <c r="J244" s="267"/>
      <c r="K244" s="4">
        <f>SUM(K12:K242)/2</f>
        <v>291292.97517042008</v>
      </c>
    </row>
    <row r="245" spans="1:11" ht="15.75" x14ac:dyDescent="0.25">
      <c r="A245" s="133"/>
      <c r="B245" s="20"/>
      <c r="C245" s="17"/>
      <c r="D245" s="17"/>
      <c r="E245" s="18"/>
      <c r="F245" s="18"/>
      <c r="G245" s="18"/>
      <c r="H245" s="264" t="s">
        <v>25</v>
      </c>
      <c r="I245" s="264"/>
      <c r="J245" s="265"/>
      <c r="K245" s="23">
        <f>SUM(H12:H241)</f>
        <v>226804.87940445985</v>
      </c>
    </row>
    <row r="246" spans="1:11" ht="15.75" x14ac:dyDescent="0.25">
      <c r="A246" s="133"/>
      <c r="B246" s="20"/>
      <c r="C246" s="17"/>
      <c r="D246" s="17"/>
      <c r="E246" s="18"/>
      <c r="F246" s="18"/>
      <c r="G246" s="18"/>
      <c r="H246" s="264" t="s">
        <v>26</v>
      </c>
      <c r="I246" s="264"/>
      <c r="J246" s="265"/>
      <c r="K246" s="23">
        <f>SUM(I12:I241)</f>
        <v>64488.09576596001</v>
      </c>
    </row>
    <row r="247" spans="1:11" ht="15.75" x14ac:dyDescent="0.25">
      <c r="A247" s="133"/>
      <c r="B247" s="20"/>
      <c r="C247" s="17"/>
      <c r="D247" s="17"/>
      <c r="E247" s="18"/>
      <c r="F247" s="18"/>
      <c r="G247" s="18"/>
      <c r="H247" s="264" t="s">
        <v>19</v>
      </c>
      <c r="I247" s="264"/>
      <c r="J247" s="265"/>
      <c r="K247" s="23">
        <f>SUM(K245:K246)</f>
        <v>291292.97517041984</v>
      </c>
    </row>
    <row r="248" spans="1:11" ht="15.75" x14ac:dyDescent="0.25">
      <c r="A248" s="133"/>
      <c r="B248" s="20"/>
      <c r="C248" s="17"/>
      <c r="D248" s="17"/>
      <c r="E248" s="18"/>
      <c r="F248" s="18"/>
      <c r="G248" s="18"/>
      <c r="H248" s="268" t="s">
        <v>428</v>
      </c>
      <c r="I248" s="268"/>
      <c r="J248" s="269"/>
      <c r="K248" s="105">
        <f>K247*0.28</f>
        <v>81562.033047717559</v>
      </c>
    </row>
    <row r="249" spans="1:11" ht="15.75" x14ac:dyDescent="0.25">
      <c r="A249" s="133"/>
      <c r="B249" s="20"/>
      <c r="C249" s="22"/>
      <c r="D249" s="22"/>
      <c r="E249" s="22"/>
      <c r="F249" s="22"/>
      <c r="G249" s="22"/>
      <c r="H249" s="264" t="s">
        <v>55</v>
      </c>
      <c r="I249" s="264"/>
      <c r="J249" s="265"/>
      <c r="K249" s="21">
        <f>K248+K247</f>
        <v>372855.00821813743</v>
      </c>
    </row>
    <row r="250" spans="1:11" ht="15.75" x14ac:dyDescent="0.25">
      <c r="A250" s="134"/>
      <c r="B250" s="20"/>
      <c r="C250" s="17"/>
      <c r="D250" s="17"/>
      <c r="E250" s="18"/>
      <c r="F250" s="18"/>
      <c r="G250" s="18"/>
      <c r="H250" s="264" t="s">
        <v>34</v>
      </c>
      <c r="I250" s="264"/>
      <c r="J250" s="265"/>
      <c r="K250" s="25">
        <f>K249/167</f>
        <v>2232.6647198690866</v>
      </c>
    </row>
    <row r="251" spans="1:11" x14ac:dyDescent="0.2">
      <c r="A251" s="26"/>
    </row>
    <row r="253" spans="1:11" ht="45" x14ac:dyDescent="0.2">
      <c r="B253" s="92" t="s">
        <v>429</v>
      </c>
    </row>
    <row r="254" spans="1:11" ht="30" x14ac:dyDescent="0.2">
      <c r="B254" s="92" t="s">
        <v>400</v>
      </c>
    </row>
    <row r="255" spans="1:11" ht="90" x14ac:dyDescent="0.2">
      <c r="B255" s="92" t="s">
        <v>430</v>
      </c>
    </row>
  </sheetData>
  <protectedRanges>
    <protectedRange sqref="B30" name="Intervalo1_3"/>
    <protectedRange sqref="G105:G106" name="Intervalo1_6"/>
    <protectedRange sqref="B45:E46 B53:E54" name="Intervalo1_1_1"/>
    <protectedRange sqref="B47:B48 B51:B52 B55:B56" name="Intervalo1_2"/>
    <protectedRange sqref="C230:C232 C234:C237" name="Intervalo1_2_1"/>
    <protectedRange sqref="C227:C229 C233" name="Intervalo1_2_4"/>
    <protectedRange sqref="E227:E237" name="Intervalo1_3_1"/>
    <protectedRange sqref="F227:G237" name="Intervalo1_3_2"/>
  </protectedRanges>
  <mergeCells count="25">
    <mergeCell ref="B27:K27"/>
    <mergeCell ref="A1:K1"/>
    <mergeCell ref="A2:K2"/>
    <mergeCell ref="A4:K4"/>
    <mergeCell ref="C5:K5"/>
    <mergeCell ref="C26:J26"/>
    <mergeCell ref="C242:J242"/>
    <mergeCell ref="C32:J32"/>
    <mergeCell ref="C34:J34"/>
    <mergeCell ref="C65:J65"/>
    <mergeCell ref="C78:J78"/>
    <mergeCell ref="C93:J93"/>
    <mergeCell ref="C101:J101"/>
    <mergeCell ref="C114:J114"/>
    <mergeCell ref="C174:J174"/>
    <mergeCell ref="C218:J218"/>
    <mergeCell ref="C224:J224"/>
    <mergeCell ref="C237:J237"/>
    <mergeCell ref="H250:J250"/>
    <mergeCell ref="H244:J244"/>
    <mergeCell ref="H245:J245"/>
    <mergeCell ref="H246:J246"/>
    <mergeCell ref="H247:J247"/>
    <mergeCell ref="H248:J248"/>
    <mergeCell ref="H249:J249"/>
  </mergeCells>
  <pageMargins left="0.86614173228346458" right="0.43307086614173229" top="0.94488188976377963" bottom="1.0236220472440944" header="0.31496062992125984" footer="0.59055118110236227"/>
  <pageSetup paperSize="9" scale="43" fitToHeight="5" orientation="portrait" r:id="rId1"/>
  <headerFooter alignWithMargins="0">
    <oddFooter>&amp;L&amp;F&amp;RPágina &amp;P de &amp;N</oddFooter>
  </headerFooter>
  <rowBreaks count="1" manualBreakCount="1">
    <brk id="92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J244"/>
  <sheetViews>
    <sheetView tabSelected="1" zoomScale="70" zoomScaleNormal="70" zoomScaleSheetLayoutView="70" workbookViewId="0">
      <selection sqref="A1:J1"/>
    </sheetView>
  </sheetViews>
  <sheetFormatPr defaultRowHeight="15" x14ac:dyDescent="0.2"/>
  <cols>
    <col min="1" max="1" width="12.140625" style="24" customWidth="1"/>
    <col min="2" max="2" width="80.5703125" style="7" bestFit="1" customWidth="1"/>
    <col min="3" max="3" width="8" style="8" customWidth="1"/>
    <col min="4" max="4" width="10.42578125" style="9" bestFit="1" customWidth="1"/>
    <col min="5" max="5" width="11.7109375" style="9" customWidth="1"/>
    <col min="6" max="6" width="12" style="9" customWidth="1"/>
    <col min="7" max="7" width="15" style="9" customWidth="1"/>
    <col min="8" max="8" width="14.7109375" style="9" customWidth="1"/>
    <col min="9" max="9" width="14.85546875" style="9" customWidth="1"/>
    <col min="10" max="10" width="18.42578125" style="9" customWidth="1"/>
    <col min="11" max="16384" width="9.140625" style="1"/>
  </cols>
  <sheetData>
    <row r="1" spans="1:10" ht="34.5" customHeight="1" x14ac:dyDescent="0.2">
      <c r="A1" s="299"/>
      <c r="B1" s="300"/>
      <c r="C1" s="300"/>
      <c r="D1" s="300"/>
      <c r="E1" s="300"/>
      <c r="F1" s="300"/>
      <c r="G1" s="300"/>
      <c r="H1" s="300"/>
      <c r="I1" s="300"/>
      <c r="J1" s="301"/>
    </row>
    <row r="2" spans="1:10" ht="20.25" x14ac:dyDescent="0.3">
      <c r="A2" s="258"/>
      <c r="B2" s="256"/>
      <c r="C2" s="256"/>
      <c r="D2" s="256"/>
      <c r="E2" s="256"/>
      <c r="F2" s="256"/>
      <c r="G2" s="256"/>
      <c r="H2" s="256"/>
      <c r="I2" s="256"/>
      <c r="J2" s="259"/>
    </row>
    <row r="3" spans="1:10" x14ac:dyDescent="0.2">
      <c r="A3" s="219"/>
      <c r="J3" s="220"/>
    </row>
    <row r="4" spans="1:10" ht="30.75" customHeight="1" x14ac:dyDescent="0.2">
      <c r="A4" s="302" t="s">
        <v>32</v>
      </c>
      <c r="B4" s="283"/>
      <c r="C4" s="283"/>
      <c r="D4" s="283"/>
      <c r="E4" s="283"/>
      <c r="F4" s="283"/>
      <c r="G4" s="283"/>
      <c r="H4" s="283"/>
      <c r="I4" s="283"/>
      <c r="J4" s="303"/>
    </row>
    <row r="5" spans="1:10" x14ac:dyDescent="0.2">
      <c r="A5" s="219" t="s">
        <v>0</v>
      </c>
      <c r="C5" s="285"/>
      <c r="D5" s="285"/>
      <c r="E5" s="285"/>
      <c r="F5" s="285"/>
      <c r="G5" s="285"/>
      <c r="H5" s="285"/>
      <c r="I5" s="285"/>
      <c r="J5" s="304"/>
    </row>
    <row r="6" spans="1:10" ht="15.75" x14ac:dyDescent="0.25">
      <c r="A6" s="219"/>
      <c r="B6" s="7" t="s">
        <v>112</v>
      </c>
      <c r="E6" s="8"/>
      <c r="F6" s="8"/>
      <c r="J6" s="237"/>
    </row>
    <row r="7" spans="1:10" ht="30" x14ac:dyDescent="0.2">
      <c r="A7" s="219"/>
      <c r="B7" s="7" t="s">
        <v>113</v>
      </c>
      <c r="I7" s="9" t="s">
        <v>27</v>
      </c>
      <c r="J7" s="238" t="s">
        <v>587</v>
      </c>
    </row>
    <row r="8" spans="1:10" x14ac:dyDescent="0.2">
      <c r="A8" s="219"/>
      <c r="B8" s="7" t="s">
        <v>586</v>
      </c>
      <c r="I8" s="9" t="s">
        <v>28</v>
      </c>
      <c r="J8" s="238" t="s">
        <v>587</v>
      </c>
    </row>
    <row r="9" spans="1:10" x14ac:dyDescent="0.2">
      <c r="A9" s="219"/>
      <c r="B9" s="7" t="s">
        <v>114</v>
      </c>
      <c r="I9" s="9" t="s">
        <v>29</v>
      </c>
      <c r="J9" s="239"/>
    </row>
    <row r="10" spans="1:10" s="2" customFormat="1" ht="47.25" x14ac:dyDescent="0.25">
      <c r="A10" s="221" t="s">
        <v>1</v>
      </c>
      <c r="B10" s="136" t="s">
        <v>2</v>
      </c>
      <c r="C10" s="137" t="s">
        <v>3</v>
      </c>
      <c r="D10" s="137" t="s">
        <v>4</v>
      </c>
      <c r="E10" s="139" t="s">
        <v>21</v>
      </c>
      <c r="F10" s="139" t="s">
        <v>22</v>
      </c>
      <c r="G10" s="139" t="s">
        <v>42</v>
      </c>
      <c r="H10" s="139" t="s">
        <v>592</v>
      </c>
      <c r="I10" s="139" t="s">
        <v>23</v>
      </c>
      <c r="J10" s="240" t="s">
        <v>24</v>
      </c>
    </row>
    <row r="11" spans="1:10" s="2" customFormat="1" ht="76.5" customHeight="1" x14ac:dyDescent="0.25">
      <c r="A11" s="262"/>
      <c r="B11" s="296" t="s">
        <v>588</v>
      </c>
      <c r="C11" s="297"/>
      <c r="D11" s="297"/>
      <c r="E11" s="297"/>
      <c r="F11" s="297"/>
      <c r="G11" s="297"/>
      <c r="H11" s="297"/>
      <c r="I11" s="298"/>
      <c r="J11" s="260"/>
    </row>
    <row r="12" spans="1:10" s="2" customFormat="1" ht="15.75" x14ac:dyDescent="0.25">
      <c r="A12" s="262">
        <v>1</v>
      </c>
      <c r="B12" s="13" t="s">
        <v>33</v>
      </c>
      <c r="C12" s="14"/>
      <c r="D12" s="14"/>
      <c r="E12" s="14"/>
      <c r="F12" s="14"/>
      <c r="G12" s="14"/>
      <c r="H12" s="14"/>
      <c r="I12" s="14"/>
      <c r="J12" s="241"/>
    </row>
    <row r="13" spans="1:10" s="39" customFormat="1" ht="30" x14ac:dyDescent="0.2">
      <c r="A13" s="263" t="s">
        <v>158</v>
      </c>
      <c r="B13" s="223" t="s">
        <v>71</v>
      </c>
      <c r="C13" s="77" t="s">
        <v>40</v>
      </c>
      <c r="D13" s="75">
        <v>35.18</v>
      </c>
      <c r="E13" s="75"/>
      <c r="F13" s="224"/>
      <c r="G13" s="75"/>
      <c r="H13" s="75"/>
      <c r="I13" s="75"/>
      <c r="J13" s="242"/>
    </row>
    <row r="14" spans="1:10" s="39" customFormat="1" x14ac:dyDescent="0.2">
      <c r="A14" s="263" t="s">
        <v>159</v>
      </c>
      <c r="B14" s="28" t="s">
        <v>77</v>
      </c>
      <c r="C14" s="29" t="s">
        <v>41</v>
      </c>
      <c r="D14" s="33">
        <v>15.67</v>
      </c>
      <c r="E14" s="33"/>
      <c r="F14" s="28"/>
      <c r="G14" s="33"/>
      <c r="H14" s="33"/>
      <c r="I14" s="33"/>
      <c r="J14" s="242"/>
    </row>
    <row r="15" spans="1:10" s="39" customFormat="1" x14ac:dyDescent="0.2">
      <c r="A15" s="263" t="s">
        <v>160</v>
      </c>
      <c r="B15" s="225" t="s">
        <v>78</v>
      </c>
      <c r="C15" s="29" t="s">
        <v>3</v>
      </c>
      <c r="D15" s="33">
        <v>10</v>
      </c>
      <c r="E15" s="33"/>
      <c r="F15" s="225"/>
      <c r="G15" s="33"/>
      <c r="H15" s="33"/>
      <c r="I15" s="33"/>
      <c r="J15" s="242"/>
    </row>
    <row r="16" spans="1:10" s="39" customFormat="1" x14ac:dyDescent="0.2">
      <c r="A16" s="263" t="s">
        <v>161</v>
      </c>
      <c r="B16" s="28" t="s">
        <v>79</v>
      </c>
      <c r="C16" s="29" t="s">
        <v>41</v>
      </c>
      <c r="D16" s="33">
        <v>59.9</v>
      </c>
      <c r="E16" s="33"/>
      <c r="F16" s="28"/>
      <c r="G16" s="33"/>
      <c r="H16" s="33"/>
      <c r="I16" s="33"/>
      <c r="J16" s="242"/>
    </row>
    <row r="17" spans="1:10" s="39" customFormat="1" x14ac:dyDescent="0.2">
      <c r="A17" s="263" t="s">
        <v>162</v>
      </c>
      <c r="B17" s="225" t="s">
        <v>76</v>
      </c>
      <c r="C17" s="29" t="s">
        <v>3</v>
      </c>
      <c r="D17" s="33">
        <v>22</v>
      </c>
      <c r="E17" s="33"/>
      <c r="F17" s="28"/>
      <c r="G17" s="33"/>
      <c r="H17" s="33"/>
      <c r="I17" s="33"/>
      <c r="J17" s="242"/>
    </row>
    <row r="18" spans="1:10" s="39" customFormat="1" x14ac:dyDescent="0.2">
      <c r="A18" s="263" t="s">
        <v>163</v>
      </c>
      <c r="B18" s="28" t="s">
        <v>75</v>
      </c>
      <c r="C18" s="29" t="s">
        <v>3</v>
      </c>
      <c r="D18" s="33">
        <v>8</v>
      </c>
      <c r="E18" s="33"/>
      <c r="F18" s="28"/>
      <c r="G18" s="33"/>
      <c r="H18" s="33"/>
      <c r="I18" s="33"/>
      <c r="J18" s="242"/>
    </row>
    <row r="19" spans="1:10" s="39" customFormat="1" x14ac:dyDescent="0.2">
      <c r="A19" s="263" t="s">
        <v>164</v>
      </c>
      <c r="B19" s="225" t="s">
        <v>72</v>
      </c>
      <c r="C19" s="29" t="s">
        <v>3</v>
      </c>
      <c r="D19" s="33">
        <v>14</v>
      </c>
      <c r="E19" s="33"/>
      <c r="F19" s="28"/>
      <c r="G19" s="33"/>
      <c r="H19" s="33"/>
      <c r="I19" s="33"/>
      <c r="J19" s="242"/>
    </row>
    <row r="20" spans="1:10" s="39" customFormat="1" x14ac:dyDescent="0.2">
      <c r="A20" s="263" t="s">
        <v>165</v>
      </c>
      <c r="B20" s="28" t="s">
        <v>73</v>
      </c>
      <c r="C20" s="29" t="s">
        <v>41</v>
      </c>
      <c r="D20" s="33">
        <v>2.3199999999999998</v>
      </c>
      <c r="E20" s="33"/>
      <c r="F20" s="225"/>
      <c r="G20" s="33"/>
      <c r="H20" s="33"/>
      <c r="I20" s="33"/>
      <c r="J20" s="242"/>
    </row>
    <row r="21" spans="1:10" s="39" customFormat="1" x14ac:dyDescent="0.2">
      <c r="A21" s="263" t="s">
        <v>166</v>
      </c>
      <c r="B21" s="225" t="s">
        <v>74</v>
      </c>
      <c r="C21" s="29" t="s">
        <v>3</v>
      </c>
      <c r="D21" s="33">
        <v>4</v>
      </c>
      <c r="E21" s="33"/>
      <c r="F21" s="28"/>
      <c r="G21" s="33"/>
      <c r="H21" s="33"/>
      <c r="I21" s="33"/>
      <c r="J21" s="242"/>
    </row>
    <row r="22" spans="1:10" s="39" customFormat="1" ht="30" x14ac:dyDescent="0.2">
      <c r="A22" s="263" t="s">
        <v>167</v>
      </c>
      <c r="B22" s="149" t="s">
        <v>435</v>
      </c>
      <c r="C22" s="150" t="s">
        <v>40</v>
      </c>
      <c r="D22" s="152">
        <v>53.760000000000005</v>
      </c>
      <c r="E22" s="153"/>
      <c r="F22" s="153"/>
      <c r="G22" s="152"/>
      <c r="H22" s="152"/>
      <c r="I22" s="152"/>
      <c r="J22" s="243"/>
    </row>
    <row r="23" spans="1:10" s="39" customFormat="1" x14ac:dyDescent="0.2">
      <c r="A23" s="263" t="s">
        <v>191</v>
      </c>
      <c r="B23" s="154" t="s">
        <v>434</v>
      </c>
      <c r="C23" s="148" t="s">
        <v>41</v>
      </c>
      <c r="D23" s="3">
        <v>85.36</v>
      </c>
      <c r="E23" s="156"/>
      <c r="F23" s="156"/>
      <c r="G23" s="3"/>
      <c r="H23" s="3"/>
      <c r="I23" s="3"/>
      <c r="J23" s="243"/>
    </row>
    <row r="24" spans="1:10" s="39" customFormat="1" ht="30" x14ac:dyDescent="0.2">
      <c r="A24" s="263" t="s">
        <v>192</v>
      </c>
      <c r="B24" s="149" t="s">
        <v>190</v>
      </c>
      <c r="C24" s="150" t="s">
        <v>41</v>
      </c>
      <c r="D24" s="152">
        <v>46.1</v>
      </c>
      <c r="E24" s="152"/>
      <c r="F24" s="153"/>
      <c r="G24" s="152"/>
      <c r="H24" s="152"/>
      <c r="I24" s="152"/>
      <c r="J24" s="243"/>
    </row>
    <row r="25" spans="1:10" s="39" customFormat="1" x14ac:dyDescent="0.2">
      <c r="A25" s="263" t="s">
        <v>200</v>
      </c>
      <c r="B25" s="154" t="s">
        <v>193</v>
      </c>
      <c r="C25" s="148" t="s">
        <v>41</v>
      </c>
      <c r="D25" s="3">
        <v>98.15</v>
      </c>
      <c r="E25" s="3"/>
      <c r="F25" s="156"/>
      <c r="G25" s="3"/>
      <c r="H25" s="3"/>
      <c r="I25" s="3"/>
      <c r="J25" s="243"/>
    </row>
    <row r="26" spans="1:10" s="39" customFormat="1" x14ac:dyDescent="0.2">
      <c r="A26" s="263" t="s">
        <v>324</v>
      </c>
      <c r="B26" s="154" t="s">
        <v>323</v>
      </c>
      <c r="C26" s="148" t="s">
        <v>41</v>
      </c>
      <c r="D26" s="3">
        <v>102.3</v>
      </c>
      <c r="E26" s="3"/>
      <c r="F26" s="156"/>
      <c r="G26" s="3"/>
      <c r="H26" s="3"/>
      <c r="I26" s="3"/>
      <c r="J26" s="243"/>
    </row>
    <row r="27" spans="1:10" s="39" customFormat="1" ht="15.75" x14ac:dyDescent="0.25">
      <c r="A27" s="226"/>
      <c r="B27" s="16" t="s">
        <v>31</v>
      </c>
      <c r="C27" s="252"/>
      <c r="D27" s="257"/>
      <c r="E27" s="257"/>
      <c r="F27" s="257"/>
      <c r="G27" s="257"/>
      <c r="H27" s="257"/>
      <c r="I27" s="252"/>
      <c r="J27" s="244"/>
    </row>
    <row r="28" spans="1:10" s="5" customFormat="1" ht="15.75" x14ac:dyDescent="0.25">
      <c r="A28" s="222">
        <v>2</v>
      </c>
      <c r="B28" s="236" t="s">
        <v>5</v>
      </c>
      <c r="C28" s="236"/>
      <c r="D28" s="236"/>
      <c r="E28" s="236"/>
      <c r="F28" s="236"/>
      <c r="G28" s="236"/>
      <c r="H28" s="236"/>
      <c r="I28" s="236"/>
      <c r="J28" s="245"/>
    </row>
    <row r="29" spans="1:10" s="39" customFormat="1" ht="15" customHeight="1" x14ac:dyDescent="0.2">
      <c r="A29" s="226" t="s">
        <v>6</v>
      </c>
      <c r="B29" s="227" t="s">
        <v>431</v>
      </c>
      <c r="C29" s="148" t="s">
        <v>51</v>
      </c>
      <c r="D29" s="3">
        <v>4</v>
      </c>
      <c r="E29" s="3"/>
      <c r="F29" s="3"/>
      <c r="G29" s="3"/>
      <c r="H29" s="3"/>
      <c r="I29" s="3"/>
      <c r="J29" s="243"/>
    </row>
    <row r="30" spans="1:10" s="39" customFormat="1" x14ac:dyDescent="0.2">
      <c r="A30" s="226" t="s">
        <v>168</v>
      </c>
      <c r="B30" s="92" t="s">
        <v>62</v>
      </c>
      <c r="C30" s="148" t="s">
        <v>41</v>
      </c>
      <c r="D30" s="157">
        <v>6</v>
      </c>
      <c r="E30" s="158"/>
      <c r="F30" s="158"/>
      <c r="G30" s="3"/>
      <c r="H30" s="3"/>
      <c r="I30" s="3"/>
      <c r="J30" s="243"/>
    </row>
    <row r="31" spans="1:10" s="39" customFormat="1" x14ac:dyDescent="0.2">
      <c r="A31" s="226" t="s">
        <v>169</v>
      </c>
      <c r="B31" s="159" t="s">
        <v>63</v>
      </c>
      <c r="C31" s="148" t="s">
        <v>41</v>
      </c>
      <c r="D31" s="157">
        <v>60.4</v>
      </c>
      <c r="E31" s="161"/>
      <c r="F31" s="161"/>
      <c r="G31" s="3"/>
      <c r="H31" s="3"/>
      <c r="I31" s="3"/>
      <c r="J31" s="243"/>
    </row>
    <row r="32" spans="1:10" s="39" customFormat="1" ht="15" customHeight="1" x14ac:dyDescent="0.2">
      <c r="A32" s="226" t="s">
        <v>170</v>
      </c>
      <c r="B32" s="227" t="s">
        <v>117</v>
      </c>
      <c r="C32" s="148" t="s">
        <v>41</v>
      </c>
      <c r="D32" s="3">
        <v>125.25</v>
      </c>
      <c r="E32" s="3"/>
      <c r="F32" s="3"/>
      <c r="G32" s="3"/>
      <c r="H32" s="3"/>
      <c r="I32" s="3"/>
      <c r="J32" s="243"/>
    </row>
    <row r="33" spans="1:10" s="39" customFormat="1" ht="15.75" x14ac:dyDescent="0.25">
      <c r="A33" s="226"/>
      <c r="B33" s="16" t="s">
        <v>589</v>
      </c>
      <c r="C33" s="252"/>
      <c r="D33" s="252"/>
      <c r="E33" s="252"/>
      <c r="F33" s="252"/>
      <c r="G33" s="252"/>
      <c r="H33" s="252"/>
      <c r="I33" s="252"/>
      <c r="J33" s="244"/>
    </row>
    <row r="34" spans="1:10" s="5" customFormat="1" ht="15.75" x14ac:dyDescent="0.25">
      <c r="A34" s="222">
        <v>3</v>
      </c>
      <c r="B34" s="13" t="s">
        <v>8</v>
      </c>
      <c r="C34" s="14"/>
      <c r="D34" s="14"/>
      <c r="E34" s="14"/>
      <c r="F34" s="14"/>
      <c r="G34" s="14"/>
      <c r="H34" s="14"/>
      <c r="I34" s="14"/>
      <c r="J34" s="241"/>
    </row>
    <row r="35" spans="1:10" s="5" customFormat="1" ht="15.75" x14ac:dyDescent="0.25">
      <c r="A35" s="222" t="s">
        <v>448</v>
      </c>
      <c r="B35" s="162" t="s">
        <v>45</v>
      </c>
      <c r="C35" s="148"/>
      <c r="D35" s="3"/>
      <c r="E35" s="3"/>
      <c r="F35" s="3"/>
      <c r="G35" s="3"/>
      <c r="H35" s="3"/>
      <c r="I35" s="3"/>
      <c r="J35" s="243"/>
    </row>
    <row r="36" spans="1:10" s="5" customFormat="1" ht="30" x14ac:dyDescent="0.25">
      <c r="A36" s="226" t="s">
        <v>449</v>
      </c>
      <c r="B36" s="163" t="s">
        <v>181</v>
      </c>
      <c r="C36" s="150" t="s">
        <v>40</v>
      </c>
      <c r="D36" s="152">
        <v>7.3612000000000002</v>
      </c>
      <c r="E36" s="152"/>
      <c r="F36" s="152"/>
      <c r="G36" s="152"/>
      <c r="H36" s="152"/>
      <c r="I36" s="152"/>
      <c r="J36" s="243"/>
    </row>
    <row r="37" spans="1:10" s="5" customFormat="1" ht="15.75" x14ac:dyDescent="0.25">
      <c r="A37" s="226" t="s">
        <v>450</v>
      </c>
      <c r="B37" s="164" t="s">
        <v>64</v>
      </c>
      <c r="C37" s="148" t="s">
        <v>40</v>
      </c>
      <c r="D37" s="3">
        <v>4.0191999999999997</v>
      </c>
      <c r="E37" s="3"/>
      <c r="F37" s="3"/>
      <c r="G37" s="3"/>
      <c r="H37" s="3"/>
      <c r="I37" s="3"/>
      <c r="J37" s="243"/>
    </row>
    <row r="38" spans="1:10" s="5" customFormat="1" ht="15.75" x14ac:dyDescent="0.25">
      <c r="A38" s="226" t="s">
        <v>451</v>
      </c>
      <c r="B38" s="164" t="s">
        <v>46</v>
      </c>
      <c r="C38" s="148" t="s">
        <v>41</v>
      </c>
      <c r="D38" s="3">
        <v>8.5560000000000009</v>
      </c>
      <c r="E38" s="3"/>
      <c r="F38" s="3"/>
      <c r="G38" s="3"/>
      <c r="H38" s="3"/>
      <c r="I38" s="3"/>
      <c r="J38" s="243"/>
    </row>
    <row r="39" spans="1:10" s="5" customFormat="1" ht="15.75" x14ac:dyDescent="0.25">
      <c r="A39" s="222" t="s">
        <v>452</v>
      </c>
      <c r="B39" s="165" t="s">
        <v>585</v>
      </c>
      <c r="C39" s="148"/>
      <c r="D39" s="3"/>
      <c r="E39" s="3"/>
      <c r="F39" s="3"/>
      <c r="G39" s="3"/>
      <c r="H39" s="3"/>
      <c r="I39" s="3"/>
      <c r="J39" s="243"/>
    </row>
    <row r="40" spans="1:10" s="5" customFormat="1" ht="15.75" x14ac:dyDescent="0.25">
      <c r="A40" s="226" t="s">
        <v>453</v>
      </c>
      <c r="B40" s="164" t="s">
        <v>182</v>
      </c>
      <c r="C40" s="148" t="s">
        <v>35</v>
      </c>
      <c r="D40" s="3">
        <v>20</v>
      </c>
      <c r="E40" s="3"/>
      <c r="F40" s="3"/>
      <c r="G40" s="3"/>
      <c r="H40" s="3"/>
      <c r="I40" s="3"/>
      <c r="J40" s="243"/>
    </row>
    <row r="41" spans="1:10" s="5" customFormat="1" ht="15.75" x14ac:dyDescent="0.25">
      <c r="A41" s="222" t="s">
        <v>454</v>
      </c>
      <c r="B41" s="166" t="s">
        <v>49</v>
      </c>
      <c r="C41" s="148"/>
      <c r="D41" s="3"/>
      <c r="E41" s="3"/>
      <c r="F41" s="3"/>
      <c r="G41" s="3"/>
      <c r="H41" s="3"/>
      <c r="I41" s="3"/>
      <c r="J41" s="243"/>
    </row>
    <row r="42" spans="1:10" s="5" customFormat="1" ht="30" x14ac:dyDescent="0.25">
      <c r="A42" s="226" t="s">
        <v>455</v>
      </c>
      <c r="B42" s="167" t="s">
        <v>66</v>
      </c>
      <c r="C42" s="150" t="s">
        <v>41</v>
      </c>
      <c r="D42" s="152">
        <v>8.5560000000000009</v>
      </c>
      <c r="E42" s="152"/>
      <c r="F42" s="152"/>
      <c r="G42" s="152"/>
      <c r="H42" s="152"/>
      <c r="I42" s="152"/>
      <c r="J42" s="243"/>
    </row>
    <row r="43" spans="1:10" s="5" customFormat="1" ht="15.75" x14ac:dyDescent="0.25">
      <c r="A43" s="226" t="s">
        <v>456</v>
      </c>
      <c r="B43" s="167" t="s">
        <v>183</v>
      </c>
      <c r="C43" s="148" t="s">
        <v>41</v>
      </c>
      <c r="D43" s="3">
        <v>29.673999999999999</v>
      </c>
      <c r="E43" s="3"/>
      <c r="F43" s="3"/>
      <c r="G43" s="3"/>
      <c r="H43" s="3"/>
      <c r="I43" s="3"/>
      <c r="J43" s="243"/>
    </row>
    <row r="44" spans="1:10" s="5" customFormat="1" ht="30" x14ac:dyDescent="0.25">
      <c r="A44" s="226" t="s">
        <v>457</v>
      </c>
      <c r="B44" s="167" t="s">
        <v>196</v>
      </c>
      <c r="C44" s="150" t="s">
        <v>50</v>
      </c>
      <c r="D44" s="152">
        <v>90.710000000000008</v>
      </c>
      <c r="E44" s="152"/>
      <c r="F44" s="152"/>
      <c r="G44" s="152"/>
      <c r="H44" s="152"/>
      <c r="I44" s="152"/>
      <c r="J44" s="243"/>
    </row>
    <row r="45" spans="1:10" s="5" customFormat="1" ht="30" x14ac:dyDescent="0.25">
      <c r="A45" s="226" t="s">
        <v>458</v>
      </c>
      <c r="B45" s="167" t="s">
        <v>197</v>
      </c>
      <c r="C45" s="150" t="s">
        <v>50</v>
      </c>
      <c r="D45" s="152">
        <v>23.1</v>
      </c>
      <c r="E45" s="152"/>
      <c r="F45" s="152"/>
      <c r="G45" s="152"/>
      <c r="H45" s="152"/>
      <c r="I45" s="152"/>
      <c r="J45" s="243"/>
    </row>
    <row r="46" spans="1:10" s="5" customFormat="1" ht="15.75" x14ac:dyDescent="0.25">
      <c r="A46" s="226" t="s">
        <v>459</v>
      </c>
      <c r="B46" s="167" t="s">
        <v>184</v>
      </c>
      <c r="C46" s="150" t="s">
        <v>40</v>
      </c>
      <c r="D46" s="152">
        <v>2.8821000000000003</v>
      </c>
      <c r="E46" s="152"/>
      <c r="F46" s="152"/>
      <c r="G46" s="152"/>
      <c r="H46" s="152"/>
      <c r="I46" s="152"/>
      <c r="J46" s="243"/>
    </row>
    <row r="47" spans="1:10" s="5" customFormat="1" ht="30" x14ac:dyDescent="0.25">
      <c r="A47" s="226" t="s">
        <v>460</v>
      </c>
      <c r="B47" s="167" t="s">
        <v>67</v>
      </c>
      <c r="C47" s="150" t="s">
        <v>40</v>
      </c>
      <c r="D47" s="152">
        <v>2.8821000000000003</v>
      </c>
      <c r="E47" s="152"/>
      <c r="F47" s="152"/>
      <c r="G47" s="152"/>
      <c r="H47" s="152"/>
      <c r="I47" s="152"/>
      <c r="J47" s="243"/>
    </row>
    <row r="48" spans="1:10" s="5" customFormat="1" ht="15.75" x14ac:dyDescent="0.25">
      <c r="A48" s="226" t="s">
        <v>461</v>
      </c>
      <c r="B48" s="227" t="s">
        <v>185</v>
      </c>
      <c r="C48" s="148" t="s">
        <v>40</v>
      </c>
      <c r="D48" s="3">
        <v>0.59892000000000012</v>
      </c>
      <c r="E48" s="156"/>
      <c r="F48" s="156"/>
      <c r="G48" s="3"/>
      <c r="H48" s="3"/>
      <c r="I48" s="3"/>
      <c r="J48" s="243"/>
    </row>
    <row r="49" spans="1:10" s="5" customFormat="1" ht="15.75" x14ac:dyDescent="0.25">
      <c r="A49" s="226"/>
      <c r="B49" s="16" t="s">
        <v>61</v>
      </c>
      <c r="C49" s="148"/>
      <c r="D49" s="3"/>
      <c r="E49" s="3"/>
      <c r="F49" s="3"/>
      <c r="G49" s="3"/>
      <c r="H49" s="3"/>
      <c r="I49" s="3"/>
      <c r="J49" s="244"/>
    </row>
    <row r="50" spans="1:10" s="5" customFormat="1" ht="15.75" x14ac:dyDescent="0.25">
      <c r="A50" s="222">
        <v>4</v>
      </c>
      <c r="B50" s="166" t="s">
        <v>130</v>
      </c>
      <c r="C50" s="148"/>
      <c r="D50" s="3"/>
      <c r="E50" s="3"/>
      <c r="F50" s="3"/>
      <c r="G50" s="3"/>
      <c r="H50" s="3"/>
      <c r="I50" s="3"/>
      <c r="J50" s="243"/>
    </row>
    <row r="51" spans="1:10" s="5" customFormat="1" ht="15.75" x14ac:dyDescent="0.25">
      <c r="A51" s="226" t="s">
        <v>9</v>
      </c>
      <c r="B51" s="167" t="s">
        <v>188</v>
      </c>
      <c r="C51" s="148" t="s">
        <v>41</v>
      </c>
      <c r="D51" s="3">
        <v>39.284800000000004</v>
      </c>
      <c r="E51" s="3"/>
      <c r="F51" s="3"/>
      <c r="G51" s="3"/>
      <c r="H51" s="3"/>
      <c r="I51" s="3"/>
      <c r="J51" s="243"/>
    </row>
    <row r="52" spans="1:10" s="5" customFormat="1" ht="30" x14ac:dyDescent="0.25">
      <c r="A52" s="226" t="s">
        <v>47</v>
      </c>
      <c r="B52" s="167" t="s">
        <v>198</v>
      </c>
      <c r="C52" s="150" t="s">
        <v>50</v>
      </c>
      <c r="D52" s="152">
        <v>214.47</v>
      </c>
      <c r="E52" s="152"/>
      <c r="F52" s="152"/>
      <c r="G52" s="152"/>
      <c r="H52" s="152"/>
      <c r="I52" s="152"/>
      <c r="J52" s="243"/>
    </row>
    <row r="53" spans="1:10" s="5" customFormat="1" ht="30" x14ac:dyDescent="0.25">
      <c r="A53" s="226" t="s">
        <v>48</v>
      </c>
      <c r="B53" s="167" t="s">
        <v>199</v>
      </c>
      <c r="C53" s="150" t="s">
        <v>50</v>
      </c>
      <c r="D53" s="152">
        <v>37.769999999999996</v>
      </c>
      <c r="E53" s="152"/>
      <c r="F53" s="152"/>
      <c r="G53" s="152"/>
      <c r="H53" s="152"/>
      <c r="I53" s="152"/>
      <c r="J53" s="243"/>
    </row>
    <row r="54" spans="1:10" s="5" customFormat="1" ht="15.75" x14ac:dyDescent="0.25">
      <c r="A54" s="226" t="s">
        <v>462</v>
      </c>
      <c r="B54" s="167" t="s">
        <v>189</v>
      </c>
      <c r="C54" s="148" t="s">
        <v>40</v>
      </c>
      <c r="D54" s="3">
        <v>2.6457600000000001</v>
      </c>
      <c r="E54" s="3"/>
      <c r="F54" s="3"/>
      <c r="G54" s="3"/>
      <c r="H54" s="3"/>
      <c r="I54" s="3"/>
      <c r="J54" s="243"/>
    </row>
    <row r="55" spans="1:10" s="5" customFormat="1" ht="15.75" x14ac:dyDescent="0.25">
      <c r="A55" s="226" t="s">
        <v>463</v>
      </c>
      <c r="B55" s="168" t="s">
        <v>393</v>
      </c>
      <c r="C55" s="148" t="s">
        <v>40</v>
      </c>
      <c r="D55" s="3">
        <v>2.6457600000000001</v>
      </c>
      <c r="E55" s="3"/>
      <c r="F55" s="3"/>
      <c r="G55" s="3"/>
      <c r="H55" s="3"/>
      <c r="I55" s="3"/>
      <c r="J55" s="243"/>
    </row>
    <row r="56" spans="1:10" s="5" customFormat="1" ht="15.75" x14ac:dyDescent="0.25">
      <c r="A56" s="226"/>
      <c r="B56" s="16" t="s">
        <v>61</v>
      </c>
      <c r="C56" s="148"/>
      <c r="D56" s="3"/>
      <c r="E56" s="3"/>
      <c r="F56" s="3"/>
      <c r="G56" s="3"/>
      <c r="H56" s="3"/>
      <c r="I56" s="3"/>
      <c r="J56" s="244"/>
    </row>
    <row r="57" spans="1:10" s="5" customFormat="1" ht="15.75" x14ac:dyDescent="0.25">
      <c r="A57" s="222">
        <v>5</v>
      </c>
      <c r="B57" s="13" t="s">
        <v>10</v>
      </c>
      <c r="C57" s="14"/>
      <c r="D57" s="14"/>
      <c r="E57" s="14"/>
      <c r="F57" s="14"/>
      <c r="G57" s="14"/>
      <c r="H57" s="14"/>
      <c r="I57" s="14"/>
      <c r="J57" s="241"/>
    </row>
    <row r="58" spans="1:10" s="39" customFormat="1" x14ac:dyDescent="0.2">
      <c r="A58" s="226" t="s">
        <v>219</v>
      </c>
      <c r="B58" s="156" t="s">
        <v>80</v>
      </c>
      <c r="C58" s="148" t="s">
        <v>41</v>
      </c>
      <c r="D58" s="155">
        <v>136.00749999999999</v>
      </c>
      <c r="E58" s="227"/>
      <c r="F58" s="169"/>
      <c r="G58" s="3"/>
      <c r="H58" s="3"/>
      <c r="I58" s="3"/>
      <c r="J58" s="243"/>
    </row>
    <row r="59" spans="1:10" s="39" customFormat="1" x14ac:dyDescent="0.2">
      <c r="A59" s="226" t="s">
        <v>220</v>
      </c>
      <c r="B59" s="156" t="s">
        <v>105</v>
      </c>
      <c r="C59" s="148" t="s">
        <v>41</v>
      </c>
      <c r="D59" s="155">
        <v>3.9</v>
      </c>
      <c r="E59" s="156"/>
      <c r="F59" s="156"/>
      <c r="G59" s="3"/>
      <c r="H59" s="3"/>
      <c r="I59" s="3"/>
      <c r="J59" s="243"/>
    </row>
    <row r="60" spans="1:10" s="39" customFormat="1" ht="30" x14ac:dyDescent="0.2">
      <c r="A60" s="226" t="s">
        <v>221</v>
      </c>
      <c r="B60" s="149" t="s">
        <v>433</v>
      </c>
      <c r="C60" s="150" t="s">
        <v>41</v>
      </c>
      <c r="D60" s="151">
        <v>83.7</v>
      </c>
      <c r="E60" s="153"/>
      <c r="F60" s="170"/>
      <c r="G60" s="152"/>
      <c r="H60" s="152"/>
      <c r="I60" s="152"/>
      <c r="J60" s="243"/>
    </row>
    <row r="61" spans="1:10" s="39" customFormat="1" ht="30" x14ac:dyDescent="0.2">
      <c r="A61" s="226" t="s">
        <v>222</v>
      </c>
      <c r="B61" s="149" t="s">
        <v>432</v>
      </c>
      <c r="C61" s="150" t="s">
        <v>41</v>
      </c>
      <c r="D61" s="151">
        <v>1.75</v>
      </c>
      <c r="E61" s="171"/>
      <c r="F61" s="171"/>
      <c r="G61" s="152"/>
      <c r="H61" s="152"/>
      <c r="I61" s="152"/>
      <c r="J61" s="243"/>
    </row>
    <row r="62" spans="1:10" s="39" customFormat="1" x14ac:dyDescent="0.2">
      <c r="A62" s="226" t="s">
        <v>223</v>
      </c>
      <c r="B62" s="153" t="s">
        <v>179</v>
      </c>
      <c r="C62" s="150" t="s">
        <v>40</v>
      </c>
      <c r="D62" s="151">
        <v>1.2901000000000002</v>
      </c>
      <c r="E62" s="153"/>
      <c r="F62" s="153"/>
      <c r="G62" s="152"/>
      <c r="H62" s="152"/>
      <c r="I62" s="152"/>
      <c r="J62" s="243"/>
    </row>
    <row r="63" spans="1:10" s="39" customFormat="1" ht="45" x14ac:dyDescent="0.2">
      <c r="A63" s="226" t="s">
        <v>464</v>
      </c>
      <c r="B63" s="149" t="s">
        <v>321</v>
      </c>
      <c r="C63" s="150" t="s">
        <v>40</v>
      </c>
      <c r="D63" s="151">
        <v>1.25</v>
      </c>
      <c r="E63" s="153"/>
      <c r="F63" s="153"/>
      <c r="G63" s="152"/>
      <c r="H63" s="152"/>
      <c r="I63" s="152"/>
      <c r="J63" s="243"/>
    </row>
    <row r="64" spans="1:10" s="39" customFormat="1" ht="15.75" x14ac:dyDescent="0.25">
      <c r="A64" s="226"/>
      <c r="B64" s="16" t="s">
        <v>61</v>
      </c>
      <c r="C64" s="252"/>
      <c r="D64" s="252"/>
      <c r="E64" s="252"/>
      <c r="F64" s="252"/>
      <c r="G64" s="252"/>
      <c r="H64" s="252"/>
      <c r="I64" s="252"/>
      <c r="J64" s="244"/>
    </row>
    <row r="65" spans="1:10" s="5" customFormat="1" ht="15.75" x14ac:dyDescent="0.25">
      <c r="A65" s="228">
        <v>6</v>
      </c>
      <c r="B65" s="172" t="s">
        <v>131</v>
      </c>
      <c r="C65" s="173"/>
      <c r="D65" s="173"/>
      <c r="E65" s="173"/>
      <c r="F65" s="173"/>
      <c r="G65" s="173"/>
      <c r="H65" s="173"/>
      <c r="I65" s="173"/>
      <c r="J65" s="245"/>
    </row>
    <row r="66" spans="1:10" s="39" customFormat="1" ht="45" x14ac:dyDescent="0.2">
      <c r="A66" s="229" t="s">
        <v>11</v>
      </c>
      <c r="B66" s="163" t="s">
        <v>401</v>
      </c>
      <c r="C66" s="150" t="s">
        <v>3</v>
      </c>
      <c r="D66" s="174">
        <v>6</v>
      </c>
      <c r="E66" s="175"/>
      <c r="F66" s="175"/>
      <c r="G66" s="152"/>
      <c r="H66" s="152"/>
      <c r="I66" s="152"/>
      <c r="J66" s="243"/>
    </row>
    <row r="67" spans="1:10" s="39" customFormat="1" ht="45" x14ac:dyDescent="0.2">
      <c r="A67" s="229" t="s">
        <v>57</v>
      </c>
      <c r="B67" s="163" t="s">
        <v>402</v>
      </c>
      <c r="C67" s="150" t="s">
        <v>3</v>
      </c>
      <c r="D67" s="174">
        <v>2</v>
      </c>
      <c r="E67" s="175"/>
      <c r="F67" s="175"/>
      <c r="G67" s="152"/>
      <c r="H67" s="152"/>
      <c r="I67" s="152"/>
      <c r="J67" s="243"/>
    </row>
    <row r="68" spans="1:10" s="39" customFormat="1" ht="15.75" x14ac:dyDescent="0.25">
      <c r="A68" s="229"/>
      <c r="B68" s="16" t="s">
        <v>61</v>
      </c>
      <c r="C68" s="148"/>
      <c r="D68" s="176"/>
      <c r="E68" s="177"/>
      <c r="F68" s="177"/>
      <c r="G68" s="3"/>
      <c r="H68" s="3"/>
      <c r="I68" s="3"/>
      <c r="J68" s="244"/>
    </row>
    <row r="69" spans="1:10" s="39" customFormat="1" ht="15.75" x14ac:dyDescent="0.25">
      <c r="A69" s="230">
        <v>7</v>
      </c>
      <c r="B69" s="172" t="s">
        <v>132</v>
      </c>
      <c r="C69" s="148"/>
      <c r="D69" s="3"/>
      <c r="E69" s="3"/>
      <c r="F69" s="3"/>
      <c r="G69" s="3"/>
      <c r="H69" s="3"/>
      <c r="I69" s="3"/>
      <c r="J69" s="243"/>
    </row>
    <row r="70" spans="1:10" s="39" customFormat="1" ht="30" x14ac:dyDescent="0.2">
      <c r="A70" s="229" t="s">
        <v>171</v>
      </c>
      <c r="B70" s="92" t="s">
        <v>404</v>
      </c>
      <c r="C70" s="148" t="s">
        <v>41</v>
      </c>
      <c r="D70" s="3">
        <v>1.6800000000000002</v>
      </c>
      <c r="E70" s="3"/>
      <c r="F70" s="3"/>
      <c r="G70" s="3"/>
      <c r="H70" s="3"/>
      <c r="I70" s="3"/>
      <c r="J70" s="243"/>
    </row>
    <row r="71" spans="1:10" s="39" customFormat="1" ht="30" x14ac:dyDescent="0.2">
      <c r="A71" s="229" t="s">
        <v>172</v>
      </c>
      <c r="B71" s="92" t="s">
        <v>403</v>
      </c>
      <c r="C71" s="148" t="s">
        <v>41</v>
      </c>
      <c r="D71" s="3">
        <v>9.36</v>
      </c>
      <c r="E71" s="3"/>
      <c r="F71" s="3"/>
      <c r="G71" s="3"/>
      <c r="H71" s="3"/>
      <c r="I71" s="3"/>
      <c r="J71" s="243"/>
    </row>
    <row r="72" spans="1:10" s="39" customFormat="1" ht="30" x14ac:dyDescent="0.2">
      <c r="A72" s="229" t="s">
        <v>465</v>
      </c>
      <c r="B72" s="92" t="s">
        <v>405</v>
      </c>
      <c r="C72" s="148" t="s">
        <v>41</v>
      </c>
      <c r="D72" s="3">
        <v>15.299999999999999</v>
      </c>
      <c r="E72" s="3"/>
      <c r="F72" s="3"/>
      <c r="G72" s="3"/>
      <c r="H72" s="3"/>
      <c r="I72" s="3"/>
      <c r="J72" s="243"/>
    </row>
    <row r="73" spans="1:10" s="39" customFormat="1" ht="30" x14ac:dyDescent="0.2">
      <c r="A73" s="229" t="s">
        <v>466</v>
      </c>
      <c r="B73" s="92" t="s">
        <v>406</v>
      </c>
      <c r="C73" s="148" t="s">
        <v>41</v>
      </c>
      <c r="D73" s="3">
        <v>0.72249999999999992</v>
      </c>
      <c r="E73" s="3"/>
      <c r="F73" s="3"/>
      <c r="G73" s="3"/>
      <c r="H73" s="3"/>
      <c r="I73" s="3"/>
      <c r="J73" s="243"/>
    </row>
    <row r="74" spans="1:10" s="39" customFormat="1" ht="30" x14ac:dyDescent="0.2">
      <c r="A74" s="229" t="s">
        <v>467</v>
      </c>
      <c r="B74" s="92" t="s">
        <v>407</v>
      </c>
      <c r="C74" s="148" t="s">
        <v>41</v>
      </c>
      <c r="D74" s="3">
        <v>0.59499999999999997</v>
      </c>
      <c r="E74" s="3"/>
      <c r="F74" s="3"/>
      <c r="G74" s="3"/>
      <c r="H74" s="3"/>
      <c r="I74" s="3"/>
      <c r="J74" s="243"/>
    </row>
    <row r="75" spans="1:10" s="39" customFormat="1" ht="30" x14ac:dyDescent="0.2">
      <c r="A75" s="229" t="s">
        <v>468</v>
      </c>
      <c r="B75" s="92" t="s">
        <v>408</v>
      </c>
      <c r="C75" s="148" t="s">
        <v>41</v>
      </c>
      <c r="D75" s="3">
        <v>2.5499999999999998</v>
      </c>
      <c r="E75" s="3"/>
      <c r="F75" s="3"/>
      <c r="G75" s="3"/>
      <c r="H75" s="3"/>
      <c r="I75" s="3"/>
      <c r="J75" s="243"/>
    </row>
    <row r="76" spans="1:10" s="39" customFormat="1" ht="45" x14ac:dyDescent="0.2">
      <c r="A76" s="229" t="s">
        <v>469</v>
      </c>
      <c r="B76" s="163" t="s">
        <v>409</v>
      </c>
      <c r="C76" s="150" t="s">
        <v>41</v>
      </c>
      <c r="D76" s="152">
        <v>1.7</v>
      </c>
      <c r="E76" s="152"/>
      <c r="F76" s="152"/>
      <c r="G76" s="152"/>
      <c r="H76" s="152"/>
      <c r="I76" s="152"/>
      <c r="J76" s="243"/>
    </row>
    <row r="77" spans="1:10" s="39" customFormat="1" ht="15.75" x14ac:dyDescent="0.25">
      <c r="A77" s="226"/>
      <c r="B77" s="16" t="s">
        <v>61</v>
      </c>
      <c r="C77" s="252"/>
      <c r="D77" s="252"/>
      <c r="E77" s="252"/>
      <c r="F77" s="252"/>
      <c r="G77" s="252"/>
      <c r="H77" s="252"/>
      <c r="I77" s="252"/>
      <c r="J77" s="244"/>
    </row>
    <row r="78" spans="1:10" s="39" customFormat="1" ht="15.75" x14ac:dyDescent="0.25">
      <c r="A78" s="222">
        <v>8</v>
      </c>
      <c r="B78" s="162" t="s">
        <v>133</v>
      </c>
      <c r="C78" s="148"/>
      <c r="D78" s="148"/>
      <c r="E78" s="148"/>
      <c r="F78" s="148"/>
      <c r="G78" s="148"/>
      <c r="H78" s="148"/>
      <c r="I78" s="148"/>
      <c r="J78" s="244"/>
    </row>
    <row r="79" spans="1:10" s="39" customFormat="1" x14ac:dyDescent="0.2">
      <c r="A79" s="226" t="s">
        <v>173</v>
      </c>
      <c r="B79" s="178" t="s">
        <v>410</v>
      </c>
      <c r="C79" s="148" t="s">
        <v>41</v>
      </c>
      <c r="D79" s="148">
        <v>17.549999999999997</v>
      </c>
      <c r="E79" s="160"/>
      <c r="F79" s="160"/>
      <c r="G79" s="3"/>
      <c r="H79" s="3"/>
      <c r="I79" s="3"/>
      <c r="J79" s="243"/>
    </row>
    <row r="80" spans="1:10" s="39" customFormat="1" ht="15.75" x14ac:dyDescent="0.25">
      <c r="A80" s="222"/>
      <c r="B80" s="16" t="s">
        <v>61</v>
      </c>
      <c r="C80" s="148"/>
      <c r="D80" s="9"/>
      <c r="E80" s="148"/>
      <c r="F80" s="148"/>
      <c r="G80" s="148"/>
      <c r="H80" s="148"/>
      <c r="I80" s="148"/>
      <c r="J80" s="244"/>
    </row>
    <row r="81" spans="1:10" s="5" customFormat="1" ht="15.75" x14ac:dyDescent="0.25">
      <c r="A81" s="222">
        <v>9</v>
      </c>
      <c r="B81" s="13" t="s">
        <v>13</v>
      </c>
      <c r="C81" s="14"/>
      <c r="D81" s="14"/>
      <c r="E81" s="14"/>
      <c r="F81" s="14"/>
      <c r="G81" s="14"/>
      <c r="H81" s="14"/>
      <c r="I81" s="14"/>
      <c r="J81" s="241"/>
    </row>
    <row r="82" spans="1:10" s="39" customFormat="1" ht="30" x14ac:dyDescent="0.2">
      <c r="A82" s="226" t="s">
        <v>12</v>
      </c>
      <c r="B82" s="154" t="s">
        <v>115</v>
      </c>
      <c r="C82" s="148" t="s">
        <v>41</v>
      </c>
      <c r="D82" s="3">
        <v>15.3096</v>
      </c>
      <c r="E82" s="156"/>
      <c r="F82" s="156"/>
      <c r="G82" s="3"/>
      <c r="H82" s="3"/>
      <c r="I82" s="3"/>
      <c r="J82" s="243"/>
    </row>
    <row r="83" spans="1:10" s="39" customFormat="1" ht="15" customHeight="1" x14ac:dyDescent="0.2">
      <c r="A83" s="226" t="s">
        <v>470</v>
      </c>
      <c r="B83" s="154" t="s">
        <v>95</v>
      </c>
      <c r="C83" s="148" t="s">
        <v>41</v>
      </c>
      <c r="D83" s="3">
        <v>112.66</v>
      </c>
      <c r="E83" s="156"/>
      <c r="F83" s="156"/>
      <c r="G83" s="3"/>
      <c r="H83" s="3"/>
      <c r="I83" s="3"/>
      <c r="J83" s="243"/>
    </row>
    <row r="84" spans="1:10" s="39" customFormat="1" ht="30.75" customHeight="1" x14ac:dyDescent="0.2">
      <c r="A84" s="226" t="s">
        <v>471</v>
      </c>
      <c r="B84" s="149" t="s">
        <v>319</v>
      </c>
      <c r="C84" s="150" t="s">
        <v>41</v>
      </c>
      <c r="D84" s="152">
        <v>29.1</v>
      </c>
      <c r="E84" s="179"/>
      <c r="F84" s="179"/>
      <c r="G84" s="152"/>
      <c r="H84" s="152"/>
      <c r="I84" s="152"/>
      <c r="J84" s="243"/>
    </row>
    <row r="85" spans="1:10" s="39" customFormat="1" ht="15" customHeight="1" x14ac:dyDescent="0.25">
      <c r="A85" s="226"/>
      <c r="B85" s="16" t="s">
        <v>61</v>
      </c>
      <c r="C85" s="148"/>
      <c r="D85" s="3"/>
      <c r="E85" s="156"/>
      <c r="F85" s="156"/>
      <c r="G85" s="3"/>
      <c r="H85" s="3"/>
      <c r="I85" s="3"/>
      <c r="J85" s="244"/>
    </row>
    <row r="86" spans="1:10" s="39" customFormat="1" ht="15" customHeight="1" x14ac:dyDescent="0.25">
      <c r="A86" s="222">
        <v>10</v>
      </c>
      <c r="B86" s="180" t="s">
        <v>93</v>
      </c>
      <c r="C86" s="148"/>
      <c r="D86" s="3"/>
      <c r="E86" s="156"/>
      <c r="F86" s="156"/>
      <c r="G86" s="3"/>
      <c r="H86" s="3"/>
      <c r="I86" s="3"/>
      <c r="J86" s="243"/>
    </row>
    <row r="87" spans="1:10" s="39" customFormat="1" ht="15" customHeight="1" x14ac:dyDescent="0.2">
      <c r="A87" s="222" t="s">
        <v>472</v>
      </c>
      <c r="B87" s="181" t="s">
        <v>111</v>
      </c>
      <c r="C87" s="148" t="s">
        <v>41</v>
      </c>
      <c r="D87" s="148">
        <v>96.42</v>
      </c>
      <c r="E87" s="182"/>
      <c r="F87" s="182"/>
      <c r="G87" s="3"/>
      <c r="H87" s="3"/>
      <c r="I87" s="3"/>
      <c r="J87" s="243"/>
    </row>
    <row r="88" spans="1:10" s="39" customFormat="1" ht="15.75" x14ac:dyDescent="0.25">
      <c r="A88" s="226"/>
      <c r="B88" s="16" t="s">
        <v>61</v>
      </c>
      <c r="C88" s="252"/>
      <c r="D88" s="252"/>
      <c r="E88" s="252"/>
      <c r="F88" s="252"/>
      <c r="G88" s="252"/>
      <c r="H88" s="252"/>
      <c r="I88" s="252"/>
      <c r="J88" s="244"/>
    </row>
    <row r="89" spans="1:10" s="5" customFormat="1" ht="15.75" x14ac:dyDescent="0.25">
      <c r="A89" s="222">
        <v>11</v>
      </c>
      <c r="B89" s="180" t="s">
        <v>136</v>
      </c>
      <c r="C89" s="14"/>
      <c r="D89" s="14"/>
      <c r="E89" s="14"/>
      <c r="F89" s="14"/>
      <c r="G89" s="14"/>
      <c r="H89" s="14"/>
      <c r="I89" s="14"/>
      <c r="J89" s="241"/>
    </row>
    <row r="90" spans="1:10" s="39" customFormat="1" x14ac:dyDescent="0.2">
      <c r="A90" s="226" t="s">
        <v>177</v>
      </c>
      <c r="B90" s="183" t="s">
        <v>68</v>
      </c>
      <c r="C90" s="148" t="s">
        <v>41</v>
      </c>
      <c r="D90" s="3">
        <v>401.26</v>
      </c>
      <c r="E90" s="3"/>
      <c r="F90" s="3"/>
      <c r="G90" s="3"/>
      <c r="H90" s="3"/>
      <c r="I90" s="3"/>
      <c r="J90" s="243"/>
    </row>
    <row r="91" spans="1:10" s="39" customFormat="1" ht="30" x14ac:dyDescent="0.2">
      <c r="A91" s="226" t="s">
        <v>178</v>
      </c>
      <c r="B91" s="183" t="s">
        <v>437</v>
      </c>
      <c r="C91" s="148" t="s">
        <v>41</v>
      </c>
      <c r="D91" s="3">
        <v>126.57000000000001</v>
      </c>
      <c r="E91" s="3"/>
      <c r="F91" s="3"/>
      <c r="G91" s="3"/>
      <c r="H91" s="3"/>
      <c r="I91" s="3"/>
      <c r="J91" s="243"/>
    </row>
    <row r="92" spans="1:10" s="39" customFormat="1" x14ac:dyDescent="0.2">
      <c r="A92" s="226" t="s">
        <v>320</v>
      </c>
      <c r="B92" s="183" t="s">
        <v>94</v>
      </c>
      <c r="C92" s="148" t="s">
        <v>41</v>
      </c>
      <c r="D92" s="3">
        <v>228.59</v>
      </c>
      <c r="E92" s="3"/>
      <c r="F92" s="3"/>
      <c r="G92" s="3"/>
      <c r="H92" s="3"/>
      <c r="I92" s="3"/>
      <c r="J92" s="243"/>
    </row>
    <row r="93" spans="1:10" s="39" customFormat="1" ht="45" x14ac:dyDescent="0.2">
      <c r="A93" s="226" t="s">
        <v>473</v>
      </c>
      <c r="B93" s="183" t="s">
        <v>436</v>
      </c>
      <c r="C93" s="150" t="s">
        <v>41</v>
      </c>
      <c r="D93" s="152">
        <v>274.69</v>
      </c>
      <c r="E93" s="152"/>
      <c r="F93" s="152"/>
      <c r="G93" s="152"/>
      <c r="H93" s="152"/>
      <c r="I93" s="152"/>
      <c r="J93" s="243"/>
    </row>
    <row r="94" spans="1:10" s="39" customFormat="1" ht="30" x14ac:dyDescent="0.2">
      <c r="A94" s="226" t="s">
        <v>474</v>
      </c>
      <c r="B94" s="183" t="s">
        <v>444</v>
      </c>
      <c r="C94" s="150" t="s">
        <v>35</v>
      </c>
      <c r="D94" s="152">
        <v>26.099999999999998</v>
      </c>
      <c r="E94" s="152"/>
      <c r="F94" s="152"/>
      <c r="G94" s="152"/>
      <c r="H94" s="152"/>
      <c r="I94" s="152"/>
      <c r="J94" s="243"/>
    </row>
    <row r="95" spans="1:10" s="39" customFormat="1" ht="30" x14ac:dyDescent="0.2">
      <c r="A95" s="226" t="s">
        <v>475</v>
      </c>
      <c r="B95" s="183" t="s">
        <v>446</v>
      </c>
      <c r="C95" s="150" t="s">
        <v>35</v>
      </c>
      <c r="D95" s="152">
        <v>2.9</v>
      </c>
      <c r="E95" s="152"/>
      <c r="F95" s="152"/>
      <c r="G95" s="152"/>
      <c r="H95" s="152"/>
      <c r="I95" s="152"/>
      <c r="J95" s="243"/>
    </row>
    <row r="96" spans="1:10" s="39" customFormat="1" ht="15.75" x14ac:dyDescent="0.25">
      <c r="A96" s="226"/>
      <c r="B96" s="16" t="s">
        <v>61</v>
      </c>
      <c r="C96" s="252"/>
      <c r="D96" s="252"/>
      <c r="E96" s="252"/>
      <c r="F96" s="252"/>
      <c r="G96" s="252"/>
      <c r="H96" s="252"/>
      <c r="I96" s="252"/>
      <c r="J96" s="244"/>
    </row>
    <row r="97" spans="1:10" s="5" customFormat="1" ht="15.75" x14ac:dyDescent="0.25">
      <c r="A97" s="222">
        <v>12</v>
      </c>
      <c r="B97" s="13" t="s">
        <v>15</v>
      </c>
      <c r="C97" s="14"/>
      <c r="D97" s="14"/>
      <c r="E97" s="14"/>
      <c r="F97" s="14"/>
      <c r="G97" s="14"/>
      <c r="H97" s="14"/>
      <c r="I97" s="14"/>
      <c r="J97" s="241"/>
    </row>
    <row r="98" spans="1:10" s="39" customFormat="1" ht="30" x14ac:dyDescent="0.2">
      <c r="A98" s="226" t="s">
        <v>476</v>
      </c>
      <c r="B98" s="163" t="s">
        <v>92</v>
      </c>
      <c r="C98" s="150" t="s">
        <v>41</v>
      </c>
      <c r="D98" s="152">
        <v>129.58000000000001</v>
      </c>
      <c r="E98" s="151"/>
      <c r="F98" s="151"/>
      <c r="G98" s="152"/>
      <c r="H98" s="152"/>
      <c r="I98" s="152"/>
      <c r="J98" s="243"/>
    </row>
    <row r="99" spans="1:10" s="39" customFormat="1" ht="30" x14ac:dyDescent="0.2">
      <c r="A99" s="226" t="s">
        <v>477</v>
      </c>
      <c r="B99" s="163" t="s">
        <v>91</v>
      </c>
      <c r="C99" s="150" t="s">
        <v>41</v>
      </c>
      <c r="D99" s="152">
        <v>165.94</v>
      </c>
      <c r="E99" s="151"/>
      <c r="F99" s="151"/>
      <c r="G99" s="152"/>
      <c r="H99" s="152"/>
      <c r="I99" s="152"/>
      <c r="J99" s="243"/>
    </row>
    <row r="100" spans="1:10" s="39" customFormat="1" x14ac:dyDescent="0.2">
      <c r="A100" s="226" t="s">
        <v>478</v>
      </c>
      <c r="B100" s="163" t="s">
        <v>186</v>
      </c>
      <c r="C100" s="148" t="s">
        <v>35</v>
      </c>
      <c r="D100" s="3">
        <v>7.85</v>
      </c>
      <c r="E100" s="3"/>
      <c r="F100" s="3"/>
      <c r="G100" s="3"/>
      <c r="H100" s="3"/>
      <c r="I100" s="3"/>
      <c r="J100" s="243"/>
    </row>
    <row r="101" spans="1:10" s="39" customFormat="1" x14ac:dyDescent="0.2">
      <c r="A101" s="226" t="s">
        <v>479</v>
      </c>
      <c r="B101" s="163" t="s">
        <v>412</v>
      </c>
      <c r="C101" s="148" t="s">
        <v>35</v>
      </c>
      <c r="D101" s="3">
        <v>24.55</v>
      </c>
      <c r="E101" s="184"/>
      <c r="F101" s="184"/>
      <c r="G101" s="3"/>
      <c r="H101" s="3"/>
      <c r="I101" s="3"/>
      <c r="J101" s="243"/>
    </row>
    <row r="102" spans="1:10" s="39" customFormat="1" ht="15" customHeight="1" x14ac:dyDescent="0.2">
      <c r="A102" s="222" t="s">
        <v>590</v>
      </c>
      <c r="B102" s="185" t="s">
        <v>96</v>
      </c>
      <c r="C102" s="148"/>
      <c r="D102" s="152"/>
      <c r="E102" s="186"/>
      <c r="F102" s="186"/>
      <c r="G102" s="3"/>
      <c r="H102" s="3"/>
      <c r="I102" s="3"/>
      <c r="J102" s="243"/>
    </row>
    <row r="103" spans="1:10" s="39" customFormat="1" ht="15" customHeight="1" x14ac:dyDescent="0.2">
      <c r="A103" s="226" t="s">
        <v>480</v>
      </c>
      <c r="B103" s="178" t="s">
        <v>106</v>
      </c>
      <c r="C103" s="148" t="s">
        <v>41</v>
      </c>
      <c r="D103" s="152">
        <v>129.58000000000001</v>
      </c>
      <c r="E103" s="3"/>
      <c r="F103" s="3"/>
      <c r="G103" s="3"/>
      <c r="H103" s="3"/>
      <c r="I103" s="3"/>
      <c r="J103" s="243"/>
    </row>
    <row r="104" spans="1:10" s="39" customFormat="1" ht="15" customHeight="1" x14ac:dyDescent="0.2">
      <c r="A104" s="226" t="s">
        <v>481</v>
      </c>
      <c r="B104" s="178" t="s">
        <v>129</v>
      </c>
      <c r="C104" s="150" t="s">
        <v>41</v>
      </c>
      <c r="D104" s="152">
        <v>91.38</v>
      </c>
      <c r="E104" s="187"/>
      <c r="F104" s="187"/>
      <c r="G104" s="3"/>
      <c r="H104" s="3"/>
      <c r="I104" s="3"/>
      <c r="J104" s="243"/>
    </row>
    <row r="105" spans="1:10" s="39" customFormat="1" ht="31.5" customHeight="1" x14ac:dyDescent="0.2">
      <c r="A105" s="226" t="s">
        <v>482</v>
      </c>
      <c r="B105" s="167" t="s">
        <v>127</v>
      </c>
      <c r="C105" s="150" t="s">
        <v>41</v>
      </c>
      <c r="D105" s="152">
        <v>43.24</v>
      </c>
      <c r="E105" s="188"/>
      <c r="F105" s="188"/>
      <c r="G105" s="152"/>
      <c r="H105" s="152"/>
      <c r="I105" s="152"/>
      <c r="J105" s="243"/>
    </row>
    <row r="106" spans="1:10" s="39" customFormat="1" ht="15" customHeight="1" x14ac:dyDescent="0.2">
      <c r="A106" s="226" t="s">
        <v>483</v>
      </c>
      <c r="B106" s="227" t="s">
        <v>128</v>
      </c>
      <c r="C106" s="150" t="s">
        <v>40</v>
      </c>
      <c r="D106" s="152">
        <v>5.3087999999999997</v>
      </c>
      <c r="E106" s="156"/>
      <c r="F106" s="156"/>
      <c r="G106" s="3"/>
      <c r="H106" s="3"/>
      <c r="I106" s="3"/>
      <c r="J106" s="243"/>
    </row>
    <row r="107" spans="1:10" s="39" customFormat="1" ht="15.75" x14ac:dyDescent="0.25">
      <c r="A107" s="226"/>
      <c r="B107" s="16" t="s">
        <v>61</v>
      </c>
      <c r="C107" s="252"/>
      <c r="D107" s="252"/>
      <c r="E107" s="252"/>
      <c r="F107" s="252"/>
      <c r="G107" s="252"/>
      <c r="H107" s="252"/>
      <c r="I107" s="252"/>
      <c r="J107" s="244"/>
    </row>
    <row r="108" spans="1:10" s="5" customFormat="1" ht="15.75" x14ac:dyDescent="0.25">
      <c r="A108" s="222">
        <v>13</v>
      </c>
      <c r="B108" s="172" t="s">
        <v>16</v>
      </c>
      <c r="C108" s="173"/>
      <c r="D108" s="173"/>
      <c r="E108" s="173"/>
      <c r="F108" s="173"/>
      <c r="G108" s="173"/>
      <c r="H108" s="173"/>
      <c r="I108" s="173"/>
      <c r="J108" s="245"/>
    </row>
    <row r="109" spans="1:10" s="5" customFormat="1" ht="15.75" x14ac:dyDescent="0.25">
      <c r="A109" s="222" t="s">
        <v>14</v>
      </c>
      <c r="B109" s="185" t="s">
        <v>97</v>
      </c>
      <c r="C109" s="173"/>
      <c r="D109" s="173"/>
      <c r="E109" s="173"/>
      <c r="F109" s="173"/>
      <c r="G109" s="173"/>
      <c r="H109" s="173"/>
      <c r="I109" s="173"/>
      <c r="J109" s="245"/>
    </row>
    <row r="110" spans="1:10" s="5" customFormat="1" ht="30" x14ac:dyDescent="0.25">
      <c r="A110" s="226" t="s">
        <v>484</v>
      </c>
      <c r="B110" s="167" t="s">
        <v>314</v>
      </c>
      <c r="C110" s="189" t="s">
        <v>89</v>
      </c>
      <c r="D110" s="190">
        <v>8</v>
      </c>
      <c r="E110" s="152"/>
      <c r="F110" s="152"/>
      <c r="G110" s="152"/>
      <c r="H110" s="152"/>
      <c r="I110" s="152"/>
      <c r="J110" s="243"/>
    </row>
    <row r="111" spans="1:10" s="5" customFormat="1" ht="15.75" x14ac:dyDescent="0.25">
      <c r="A111" s="226" t="s">
        <v>485</v>
      </c>
      <c r="B111" s="178" t="s">
        <v>102</v>
      </c>
      <c r="C111" s="191" t="s">
        <v>89</v>
      </c>
      <c r="D111" s="160">
        <v>1</v>
      </c>
      <c r="E111" s="3"/>
      <c r="F111" s="3"/>
      <c r="G111" s="3"/>
      <c r="H111" s="3"/>
      <c r="I111" s="3"/>
      <c r="J111" s="243"/>
    </row>
    <row r="112" spans="1:10" s="5" customFormat="1" ht="15.75" x14ac:dyDescent="0.25">
      <c r="A112" s="226" t="s">
        <v>486</v>
      </c>
      <c r="B112" s="178" t="s">
        <v>90</v>
      </c>
      <c r="C112" s="191" t="s">
        <v>89</v>
      </c>
      <c r="D112" s="160">
        <v>1</v>
      </c>
      <c r="E112" s="3"/>
      <c r="F112" s="3"/>
      <c r="G112" s="3"/>
      <c r="H112" s="3"/>
      <c r="I112" s="3"/>
      <c r="J112" s="243"/>
    </row>
    <row r="113" spans="1:10" s="5" customFormat="1" ht="15.75" x14ac:dyDescent="0.25">
      <c r="A113" s="226" t="s">
        <v>487</v>
      </c>
      <c r="B113" s="178" t="s">
        <v>103</v>
      </c>
      <c r="C113" s="191" t="s">
        <v>89</v>
      </c>
      <c r="D113" s="160">
        <v>1</v>
      </c>
      <c r="E113" s="3"/>
      <c r="F113" s="3"/>
      <c r="G113" s="3"/>
      <c r="H113" s="3"/>
      <c r="I113" s="3"/>
      <c r="J113" s="243"/>
    </row>
    <row r="114" spans="1:10" s="5" customFormat="1" ht="30" x14ac:dyDescent="0.25">
      <c r="A114" s="226" t="s">
        <v>488</v>
      </c>
      <c r="B114" s="167" t="s">
        <v>316</v>
      </c>
      <c r="C114" s="189" t="s">
        <v>89</v>
      </c>
      <c r="D114" s="190">
        <v>3</v>
      </c>
      <c r="E114" s="152"/>
      <c r="F114" s="152"/>
      <c r="G114" s="152"/>
      <c r="H114" s="152"/>
      <c r="I114" s="152"/>
      <c r="J114" s="243"/>
    </row>
    <row r="115" spans="1:10" s="5" customFormat="1" ht="15.75" x14ac:dyDescent="0.25">
      <c r="A115" s="226" t="s">
        <v>489</v>
      </c>
      <c r="B115" s="178" t="s">
        <v>104</v>
      </c>
      <c r="C115" s="191" t="s">
        <v>89</v>
      </c>
      <c r="D115" s="160">
        <v>2</v>
      </c>
      <c r="E115" s="3"/>
      <c r="F115" s="3"/>
      <c r="G115" s="3"/>
      <c r="H115" s="3"/>
      <c r="I115" s="3"/>
      <c r="J115" s="243"/>
    </row>
    <row r="116" spans="1:10" s="5" customFormat="1" ht="15.75" x14ac:dyDescent="0.25">
      <c r="A116" s="226" t="s">
        <v>490</v>
      </c>
      <c r="B116" s="178" t="s">
        <v>413</v>
      </c>
      <c r="C116" s="191" t="s">
        <v>35</v>
      </c>
      <c r="D116" s="160">
        <v>38.89</v>
      </c>
      <c r="E116" s="3"/>
      <c r="F116" s="3"/>
      <c r="G116" s="3"/>
      <c r="H116" s="3"/>
      <c r="I116" s="3"/>
      <c r="J116" s="243"/>
    </row>
    <row r="117" spans="1:10" s="5" customFormat="1" ht="15.75" x14ac:dyDescent="0.25">
      <c r="A117" s="226" t="s">
        <v>491</v>
      </c>
      <c r="B117" s="178" t="s">
        <v>414</v>
      </c>
      <c r="C117" s="191" t="s">
        <v>35</v>
      </c>
      <c r="D117" s="160">
        <v>33.659999999999997</v>
      </c>
      <c r="E117" s="3"/>
      <c r="F117" s="3"/>
      <c r="G117" s="3"/>
      <c r="H117" s="3"/>
      <c r="I117" s="3"/>
      <c r="J117" s="243"/>
    </row>
    <row r="118" spans="1:10" s="5" customFormat="1" ht="15.75" x14ac:dyDescent="0.25">
      <c r="A118" s="226" t="s">
        <v>492</v>
      </c>
      <c r="B118" s="178" t="s">
        <v>415</v>
      </c>
      <c r="C118" s="191" t="s">
        <v>35</v>
      </c>
      <c r="D118" s="160">
        <v>18.09</v>
      </c>
      <c r="E118" s="3"/>
      <c r="F118" s="3"/>
      <c r="G118" s="3"/>
      <c r="H118" s="3"/>
      <c r="I118" s="3"/>
      <c r="J118" s="243"/>
    </row>
    <row r="119" spans="1:10" s="5" customFormat="1" ht="15.75" x14ac:dyDescent="0.25">
      <c r="A119" s="226" t="s">
        <v>493</v>
      </c>
      <c r="B119" s="178" t="s">
        <v>416</v>
      </c>
      <c r="C119" s="191" t="s">
        <v>35</v>
      </c>
      <c r="D119" s="160">
        <v>29.45</v>
      </c>
      <c r="E119" s="3"/>
      <c r="F119" s="3"/>
      <c r="G119" s="3"/>
      <c r="H119" s="3"/>
      <c r="I119" s="3"/>
      <c r="J119" s="243"/>
    </row>
    <row r="120" spans="1:10" s="5" customFormat="1" ht="15.75" x14ac:dyDescent="0.25">
      <c r="A120" s="226" t="s">
        <v>494</v>
      </c>
      <c r="B120" s="178" t="s">
        <v>417</v>
      </c>
      <c r="C120" s="191" t="s">
        <v>35</v>
      </c>
      <c r="D120" s="160">
        <v>1.24</v>
      </c>
      <c r="E120" s="3"/>
      <c r="F120" s="3"/>
      <c r="G120" s="3"/>
      <c r="H120" s="3"/>
      <c r="I120" s="3"/>
      <c r="J120" s="243"/>
    </row>
    <row r="121" spans="1:10" s="5" customFormat="1" ht="15.75" x14ac:dyDescent="0.25">
      <c r="A121" s="226" t="s">
        <v>495</v>
      </c>
      <c r="B121" s="178" t="s">
        <v>418</v>
      </c>
      <c r="C121" s="191" t="s">
        <v>35</v>
      </c>
      <c r="D121" s="160">
        <v>28.49</v>
      </c>
      <c r="E121" s="3"/>
      <c r="F121" s="3"/>
      <c r="G121" s="3"/>
      <c r="H121" s="3"/>
      <c r="I121" s="3"/>
      <c r="J121" s="243"/>
    </row>
    <row r="122" spans="1:10" s="5" customFormat="1" ht="15.75" x14ac:dyDescent="0.25">
      <c r="A122" s="226" t="s">
        <v>496</v>
      </c>
      <c r="B122" s="178" t="s">
        <v>419</v>
      </c>
      <c r="C122" s="191" t="s">
        <v>35</v>
      </c>
      <c r="D122" s="160">
        <v>1.78</v>
      </c>
      <c r="E122" s="3"/>
      <c r="F122" s="3"/>
      <c r="G122" s="3"/>
      <c r="H122" s="3"/>
      <c r="I122" s="3"/>
      <c r="J122" s="243"/>
    </row>
    <row r="123" spans="1:10" s="5" customFormat="1" ht="15.75" x14ac:dyDescent="0.25">
      <c r="A123" s="226" t="s">
        <v>497</v>
      </c>
      <c r="B123" s="178" t="s">
        <v>420</v>
      </c>
      <c r="C123" s="191" t="s">
        <v>35</v>
      </c>
      <c r="D123" s="160">
        <v>22.44</v>
      </c>
      <c r="E123" s="3"/>
      <c r="F123" s="3"/>
      <c r="G123" s="3"/>
      <c r="H123" s="3"/>
      <c r="I123" s="3"/>
      <c r="J123" s="243"/>
    </row>
    <row r="124" spans="1:10" s="5" customFormat="1" ht="15.75" x14ac:dyDescent="0.25">
      <c r="A124" s="226" t="s">
        <v>498</v>
      </c>
      <c r="B124" s="178" t="s">
        <v>421</v>
      </c>
      <c r="C124" s="191" t="s">
        <v>35</v>
      </c>
      <c r="D124" s="160">
        <v>8.06</v>
      </c>
      <c r="E124" s="3"/>
      <c r="F124" s="3"/>
      <c r="G124" s="3"/>
      <c r="H124" s="3"/>
      <c r="I124" s="3"/>
      <c r="J124" s="243"/>
    </row>
    <row r="125" spans="1:10" s="5" customFormat="1" ht="30" x14ac:dyDescent="0.25">
      <c r="A125" s="226" t="s">
        <v>499</v>
      </c>
      <c r="B125" s="167" t="s">
        <v>317</v>
      </c>
      <c r="C125" s="189" t="s">
        <v>89</v>
      </c>
      <c r="D125" s="190">
        <v>1</v>
      </c>
      <c r="E125" s="152"/>
      <c r="F125" s="152"/>
      <c r="G125" s="152"/>
      <c r="H125" s="152"/>
      <c r="I125" s="152"/>
      <c r="J125" s="243"/>
    </row>
    <row r="126" spans="1:10" s="5" customFormat="1" ht="15.75" x14ac:dyDescent="0.25">
      <c r="A126" s="226" t="s">
        <v>500</v>
      </c>
      <c r="B126" s="178" t="s">
        <v>312</v>
      </c>
      <c r="C126" s="191" t="s">
        <v>89</v>
      </c>
      <c r="D126" s="160">
        <v>3</v>
      </c>
      <c r="E126" s="3"/>
      <c r="F126" s="3"/>
      <c r="G126" s="3"/>
      <c r="H126" s="3"/>
      <c r="I126" s="3"/>
      <c r="J126" s="243"/>
    </row>
    <row r="127" spans="1:10" s="39" customFormat="1" ht="15.75" x14ac:dyDescent="0.2">
      <c r="A127" s="222" t="s">
        <v>501</v>
      </c>
      <c r="B127" s="185" t="s">
        <v>98</v>
      </c>
      <c r="C127" s="148"/>
      <c r="D127" s="3"/>
      <c r="E127" s="3"/>
      <c r="F127" s="3"/>
      <c r="G127" s="3"/>
      <c r="H127" s="3"/>
      <c r="I127" s="3"/>
      <c r="J127" s="243"/>
    </row>
    <row r="128" spans="1:10" s="39" customFormat="1" x14ac:dyDescent="0.2">
      <c r="A128" s="226" t="s">
        <v>502</v>
      </c>
      <c r="B128" s="163" t="s">
        <v>422</v>
      </c>
      <c r="C128" s="191" t="s">
        <v>35</v>
      </c>
      <c r="D128" s="3">
        <v>121.19</v>
      </c>
      <c r="E128" s="3"/>
      <c r="F128" s="3"/>
      <c r="G128" s="3"/>
      <c r="H128" s="3"/>
      <c r="I128" s="3"/>
      <c r="J128" s="243"/>
    </row>
    <row r="129" spans="1:10" s="39" customFormat="1" x14ac:dyDescent="0.2">
      <c r="A129" s="226" t="s">
        <v>503</v>
      </c>
      <c r="B129" s="163" t="s">
        <v>423</v>
      </c>
      <c r="C129" s="191" t="s">
        <v>35</v>
      </c>
      <c r="D129" s="3">
        <v>7.17</v>
      </c>
      <c r="E129" s="3"/>
      <c r="F129" s="3"/>
      <c r="G129" s="3"/>
      <c r="H129" s="3"/>
      <c r="I129" s="3"/>
      <c r="J129" s="243"/>
    </row>
    <row r="130" spans="1:10" s="39" customFormat="1" x14ac:dyDescent="0.2">
      <c r="A130" s="226" t="s">
        <v>504</v>
      </c>
      <c r="B130" s="163" t="s">
        <v>424</v>
      </c>
      <c r="C130" s="191" t="s">
        <v>35</v>
      </c>
      <c r="D130" s="3">
        <v>23.01</v>
      </c>
      <c r="E130" s="3"/>
      <c r="F130" s="3"/>
      <c r="G130" s="3"/>
      <c r="H130" s="3"/>
      <c r="I130" s="3"/>
      <c r="J130" s="243"/>
    </row>
    <row r="131" spans="1:10" s="39" customFormat="1" x14ac:dyDescent="0.2">
      <c r="A131" s="226" t="s">
        <v>505</v>
      </c>
      <c r="B131" s="163" t="s">
        <v>425</v>
      </c>
      <c r="C131" s="191" t="s">
        <v>35</v>
      </c>
      <c r="D131" s="3">
        <v>20.63</v>
      </c>
      <c r="E131" s="3"/>
      <c r="F131" s="3"/>
      <c r="G131" s="3"/>
      <c r="H131" s="3"/>
      <c r="I131" s="3"/>
      <c r="J131" s="243"/>
    </row>
    <row r="132" spans="1:10" s="39" customFormat="1" x14ac:dyDescent="0.2">
      <c r="A132" s="226" t="s">
        <v>506</v>
      </c>
      <c r="B132" s="163" t="s">
        <v>99</v>
      </c>
      <c r="C132" s="191" t="s">
        <v>89</v>
      </c>
      <c r="D132" s="3">
        <v>2</v>
      </c>
      <c r="E132" s="3"/>
      <c r="F132" s="3"/>
      <c r="G132" s="3"/>
      <c r="H132" s="3"/>
      <c r="I132" s="3"/>
      <c r="J132" s="243"/>
    </row>
    <row r="133" spans="1:10" s="39" customFormat="1" x14ac:dyDescent="0.2">
      <c r="A133" s="226" t="s">
        <v>507</v>
      </c>
      <c r="B133" s="163" t="s">
        <v>100</v>
      </c>
      <c r="C133" s="191" t="s">
        <v>89</v>
      </c>
      <c r="D133" s="3">
        <v>18</v>
      </c>
      <c r="E133" s="3"/>
      <c r="F133" s="3"/>
      <c r="G133" s="3"/>
      <c r="H133" s="3"/>
      <c r="I133" s="3"/>
      <c r="J133" s="243"/>
    </row>
    <row r="134" spans="1:10" s="39" customFormat="1" x14ac:dyDescent="0.2">
      <c r="A134" s="226" t="s">
        <v>508</v>
      </c>
      <c r="B134" s="163" t="s">
        <v>101</v>
      </c>
      <c r="C134" s="191" t="s">
        <v>89</v>
      </c>
      <c r="D134" s="3">
        <v>2</v>
      </c>
      <c r="E134" s="3"/>
      <c r="F134" s="3"/>
      <c r="G134" s="3"/>
      <c r="H134" s="3"/>
      <c r="I134" s="3"/>
      <c r="J134" s="243"/>
    </row>
    <row r="135" spans="1:10" s="39" customFormat="1" ht="15.75" x14ac:dyDescent="0.2">
      <c r="A135" s="222" t="s">
        <v>509</v>
      </c>
      <c r="B135" s="185" t="s">
        <v>144</v>
      </c>
      <c r="C135" s="192"/>
      <c r="D135" s="3"/>
      <c r="E135" s="3"/>
      <c r="F135" s="3"/>
      <c r="G135" s="3"/>
      <c r="H135" s="3"/>
      <c r="I135" s="3"/>
      <c r="J135" s="243"/>
    </row>
    <row r="136" spans="1:10" s="39" customFormat="1" x14ac:dyDescent="0.2">
      <c r="A136" s="226" t="s">
        <v>510</v>
      </c>
      <c r="B136" s="163" t="s">
        <v>107</v>
      </c>
      <c r="C136" s="193" t="s">
        <v>3</v>
      </c>
      <c r="D136" s="3">
        <v>1</v>
      </c>
      <c r="E136" s="3"/>
      <c r="F136" s="3"/>
      <c r="G136" s="3"/>
      <c r="H136" s="3"/>
      <c r="I136" s="3"/>
      <c r="J136" s="243"/>
    </row>
    <row r="137" spans="1:10" s="39" customFormat="1" x14ac:dyDescent="0.2">
      <c r="A137" s="226" t="s">
        <v>511</v>
      </c>
      <c r="B137" s="163" t="s">
        <v>108</v>
      </c>
      <c r="C137" s="193" t="s">
        <v>3</v>
      </c>
      <c r="D137" s="3">
        <v>1</v>
      </c>
      <c r="E137" s="3"/>
      <c r="F137" s="3"/>
      <c r="G137" s="3"/>
      <c r="H137" s="3"/>
      <c r="I137" s="3"/>
      <c r="J137" s="243"/>
    </row>
    <row r="138" spans="1:10" s="39" customFormat="1" x14ac:dyDescent="0.2">
      <c r="A138" s="226" t="s">
        <v>512</v>
      </c>
      <c r="B138" s="163" t="s">
        <v>109</v>
      </c>
      <c r="C138" s="193" t="s">
        <v>3</v>
      </c>
      <c r="D138" s="3">
        <v>6</v>
      </c>
      <c r="E138" s="3"/>
      <c r="F138" s="3"/>
      <c r="G138" s="3"/>
      <c r="H138" s="3"/>
      <c r="I138" s="3"/>
      <c r="J138" s="243"/>
    </row>
    <row r="139" spans="1:10" s="39" customFormat="1" x14ac:dyDescent="0.2">
      <c r="A139" s="226"/>
      <c r="B139" s="194"/>
      <c r="C139" s="148"/>
      <c r="D139" s="3"/>
      <c r="E139" s="195"/>
      <c r="F139" s="195"/>
      <c r="G139" s="3"/>
      <c r="H139" s="3"/>
      <c r="I139" s="3"/>
      <c r="J139" s="243"/>
    </row>
    <row r="140" spans="1:10" s="39" customFormat="1" ht="15" customHeight="1" x14ac:dyDescent="0.25">
      <c r="A140" s="222" t="s">
        <v>513</v>
      </c>
      <c r="B140" s="172" t="s">
        <v>81</v>
      </c>
      <c r="C140" s="148"/>
      <c r="D140" s="158"/>
      <c r="E140" s="158"/>
      <c r="F140" s="158"/>
      <c r="G140" s="3"/>
      <c r="H140" s="3"/>
      <c r="I140" s="3"/>
      <c r="J140" s="243"/>
    </row>
    <row r="141" spans="1:10" s="39" customFormat="1" ht="30.75" customHeight="1" x14ac:dyDescent="0.2">
      <c r="A141" s="226" t="s">
        <v>514</v>
      </c>
      <c r="B141" s="194" t="s">
        <v>123</v>
      </c>
      <c r="C141" s="196" t="s">
        <v>3</v>
      </c>
      <c r="D141" s="197">
        <v>2</v>
      </c>
      <c r="E141" s="197"/>
      <c r="F141" s="197"/>
      <c r="G141" s="152"/>
      <c r="H141" s="152"/>
      <c r="I141" s="152"/>
      <c r="J141" s="243"/>
    </row>
    <row r="142" spans="1:10" s="39" customFormat="1" ht="15" customHeight="1" x14ac:dyDescent="0.2">
      <c r="A142" s="226" t="s">
        <v>515</v>
      </c>
      <c r="B142" s="194" t="s">
        <v>82</v>
      </c>
      <c r="C142" s="193" t="s">
        <v>3</v>
      </c>
      <c r="D142" s="157">
        <v>2</v>
      </c>
      <c r="E142" s="157"/>
      <c r="F142" s="157"/>
      <c r="G142" s="3"/>
      <c r="H142" s="3"/>
      <c r="I142" s="3"/>
      <c r="J142" s="243"/>
    </row>
    <row r="143" spans="1:10" s="39" customFormat="1" ht="30" customHeight="1" x14ac:dyDescent="0.2">
      <c r="A143" s="226" t="s">
        <v>516</v>
      </c>
      <c r="B143" s="198" t="s">
        <v>426</v>
      </c>
      <c r="C143" s="196" t="s">
        <v>3</v>
      </c>
      <c r="D143" s="197">
        <v>18</v>
      </c>
      <c r="E143" s="231"/>
      <c r="F143" s="171"/>
      <c r="G143" s="152"/>
      <c r="H143" s="152"/>
      <c r="I143" s="152"/>
      <c r="J143" s="243"/>
    </row>
    <row r="144" spans="1:10" s="39" customFormat="1" ht="30" x14ac:dyDescent="0.2">
      <c r="A144" s="226" t="s">
        <v>517</v>
      </c>
      <c r="B144" s="194" t="s">
        <v>427</v>
      </c>
      <c r="C144" s="196" t="s">
        <v>3</v>
      </c>
      <c r="D144" s="197">
        <v>6</v>
      </c>
      <c r="E144" s="170"/>
      <c r="F144" s="170"/>
      <c r="G144" s="152"/>
      <c r="H144" s="152"/>
      <c r="I144" s="152"/>
      <c r="J144" s="243"/>
    </row>
    <row r="145" spans="1:10" s="39" customFormat="1" ht="15" customHeight="1" x14ac:dyDescent="0.2">
      <c r="A145" s="226" t="s">
        <v>518</v>
      </c>
      <c r="B145" s="194" t="s">
        <v>83</v>
      </c>
      <c r="C145" s="193" t="s">
        <v>3</v>
      </c>
      <c r="D145" s="157">
        <v>2</v>
      </c>
      <c r="E145" s="182"/>
      <c r="F145" s="182"/>
      <c r="G145" s="3"/>
      <c r="H145" s="3"/>
      <c r="I145" s="3"/>
      <c r="J145" s="243"/>
    </row>
    <row r="146" spans="1:10" s="39" customFormat="1" ht="15" customHeight="1" x14ac:dyDescent="0.2">
      <c r="A146" s="226" t="s">
        <v>519</v>
      </c>
      <c r="B146" s="194" t="s">
        <v>84</v>
      </c>
      <c r="C146" s="193" t="s">
        <v>3</v>
      </c>
      <c r="D146" s="157">
        <v>20</v>
      </c>
      <c r="E146" s="182"/>
      <c r="F146" s="182"/>
      <c r="G146" s="3"/>
      <c r="H146" s="3"/>
      <c r="I146" s="3"/>
      <c r="J146" s="243"/>
    </row>
    <row r="147" spans="1:10" s="39" customFormat="1" ht="15" customHeight="1" x14ac:dyDescent="0.2">
      <c r="A147" s="226" t="s">
        <v>520</v>
      </c>
      <c r="B147" s="194" t="s">
        <v>85</v>
      </c>
      <c r="C147" s="193" t="s">
        <v>3</v>
      </c>
      <c r="D147" s="157">
        <v>1</v>
      </c>
      <c r="E147" s="182"/>
      <c r="F147" s="182"/>
      <c r="G147" s="3"/>
      <c r="H147" s="3"/>
      <c r="I147" s="3"/>
      <c r="J147" s="243"/>
    </row>
    <row r="148" spans="1:10" s="39" customFormat="1" ht="15" customHeight="1" x14ac:dyDescent="0.2">
      <c r="A148" s="226" t="s">
        <v>521</v>
      </c>
      <c r="B148" s="194" t="s">
        <v>204</v>
      </c>
      <c r="C148" s="193" t="s">
        <v>3</v>
      </c>
      <c r="D148" s="157">
        <v>19</v>
      </c>
      <c r="E148" s="182"/>
      <c r="F148" s="182"/>
      <c r="G148" s="3"/>
      <c r="H148" s="3"/>
      <c r="I148" s="3"/>
      <c r="J148" s="243"/>
    </row>
    <row r="149" spans="1:10" s="39" customFormat="1" ht="15" customHeight="1" x14ac:dyDescent="0.2">
      <c r="A149" s="226" t="s">
        <v>522</v>
      </c>
      <c r="B149" s="194" t="s">
        <v>86</v>
      </c>
      <c r="C149" s="193" t="s">
        <v>3</v>
      </c>
      <c r="D149" s="157">
        <v>2</v>
      </c>
      <c r="E149" s="182"/>
      <c r="F149" s="182"/>
      <c r="G149" s="3"/>
      <c r="H149" s="3"/>
      <c r="I149" s="3"/>
      <c r="J149" s="243"/>
    </row>
    <row r="150" spans="1:10" s="39" customFormat="1" ht="15" customHeight="1" x14ac:dyDescent="0.2">
      <c r="A150" s="226" t="s">
        <v>523</v>
      </c>
      <c r="B150" s="194" t="s">
        <v>87</v>
      </c>
      <c r="C150" s="193" t="s">
        <v>3</v>
      </c>
      <c r="D150" s="157">
        <v>17</v>
      </c>
      <c r="E150" s="182"/>
      <c r="F150" s="182"/>
      <c r="G150" s="3"/>
      <c r="H150" s="3"/>
      <c r="I150" s="3"/>
      <c r="J150" s="243"/>
    </row>
    <row r="151" spans="1:10" s="39" customFormat="1" ht="15" customHeight="1" x14ac:dyDescent="0.2">
      <c r="A151" s="226" t="s">
        <v>524</v>
      </c>
      <c r="B151" s="194" t="s">
        <v>121</v>
      </c>
      <c r="C151" s="193" t="s">
        <v>3</v>
      </c>
      <c r="D151" s="157">
        <v>1</v>
      </c>
      <c r="E151" s="182"/>
      <c r="F151" s="182"/>
      <c r="G151" s="3"/>
      <c r="H151" s="3"/>
      <c r="I151" s="3"/>
      <c r="J151" s="243"/>
    </row>
    <row r="152" spans="1:10" s="39" customFormat="1" ht="15" customHeight="1" x14ac:dyDescent="0.2">
      <c r="A152" s="226" t="s">
        <v>525</v>
      </c>
      <c r="B152" s="194" t="s">
        <v>70</v>
      </c>
      <c r="C152" s="193" t="s">
        <v>3</v>
      </c>
      <c r="D152" s="157">
        <v>2</v>
      </c>
      <c r="E152" s="182"/>
      <c r="F152" s="182"/>
      <c r="G152" s="3"/>
      <c r="H152" s="3"/>
      <c r="I152" s="3"/>
      <c r="J152" s="243"/>
    </row>
    <row r="153" spans="1:10" s="39" customFormat="1" ht="15" customHeight="1" x14ac:dyDescent="0.2">
      <c r="A153" s="226" t="s">
        <v>526</v>
      </c>
      <c r="B153" s="194" t="s">
        <v>88</v>
      </c>
      <c r="C153" s="148" t="s">
        <v>41</v>
      </c>
      <c r="D153" s="157">
        <v>7.65</v>
      </c>
      <c r="E153" s="182"/>
      <c r="F153" s="182"/>
      <c r="G153" s="3"/>
      <c r="H153" s="3"/>
      <c r="I153" s="3"/>
      <c r="J153" s="243"/>
    </row>
    <row r="154" spans="1:10" s="39" customFormat="1" ht="30" x14ac:dyDescent="0.2">
      <c r="A154" s="226" t="s">
        <v>527</v>
      </c>
      <c r="B154" s="92" t="s">
        <v>438</v>
      </c>
      <c r="C154" s="148" t="s">
        <v>41</v>
      </c>
      <c r="D154" s="157">
        <v>3.0056000000000003</v>
      </c>
      <c r="E154" s="182"/>
      <c r="F154" s="182"/>
      <c r="G154" s="3"/>
      <c r="H154" s="3"/>
      <c r="I154" s="3"/>
      <c r="J154" s="243"/>
    </row>
    <row r="155" spans="1:10" s="39" customFormat="1" ht="30" x14ac:dyDescent="0.2">
      <c r="A155" s="226" t="s">
        <v>528</v>
      </c>
      <c r="B155" s="92" t="s">
        <v>439</v>
      </c>
      <c r="C155" s="148" t="s">
        <v>41</v>
      </c>
      <c r="D155" s="157">
        <v>2.2984</v>
      </c>
      <c r="E155" s="182"/>
      <c r="F155" s="182"/>
      <c r="G155" s="3"/>
      <c r="H155" s="3"/>
      <c r="I155" s="3"/>
      <c r="J155" s="243"/>
    </row>
    <row r="156" spans="1:10" s="39" customFormat="1" ht="30" x14ac:dyDescent="0.2">
      <c r="A156" s="226" t="s">
        <v>529</v>
      </c>
      <c r="B156" s="92" t="s">
        <v>440</v>
      </c>
      <c r="C156" s="148" t="s">
        <v>41</v>
      </c>
      <c r="D156" s="157">
        <v>0.94240000000000002</v>
      </c>
      <c r="E156" s="182"/>
      <c r="F156" s="182"/>
      <c r="G156" s="3"/>
      <c r="H156" s="3"/>
      <c r="I156" s="3"/>
      <c r="J156" s="243"/>
    </row>
    <row r="157" spans="1:10" s="39" customFormat="1" ht="30" x14ac:dyDescent="0.2">
      <c r="A157" s="226" t="s">
        <v>530</v>
      </c>
      <c r="B157" s="92" t="s">
        <v>441</v>
      </c>
      <c r="C157" s="148" t="s">
        <v>41</v>
      </c>
      <c r="D157" s="157">
        <v>1.6016000000000001</v>
      </c>
      <c r="E157" s="182"/>
      <c r="F157" s="182"/>
      <c r="G157" s="3"/>
      <c r="H157" s="3"/>
      <c r="I157" s="3"/>
      <c r="J157" s="243"/>
    </row>
    <row r="158" spans="1:10" s="39" customFormat="1" ht="30" x14ac:dyDescent="0.2">
      <c r="A158" s="226" t="s">
        <v>531</v>
      </c>
      <c r="B158" s="92" t="s">
        <v>442</v>
      </c>
      <c r="C158" s="148" t="s">
        <v>41</v>
      </c>
      <c r="D158" s="157">
        <v>1.2584</v>
      </c>
      <c r="E158" s="182"/>
      <c r="F158" s="182"/>
      <c r="G158" s="3"/>
      <c r="H158" s="3"/>
      <c r="I158" s="3"/>
      <c r="J158" s="243"/>
    </row>
    <row r="159" spans="1:10" s="39" customFormat="1" ht="15" customHeight="1" x14ac:dyDescent="0.2">
      <c r="A159" s="226" t="s">
        <v>532</v>
      </c>
      <c r="B159" s="163" t="s">
        <v>122</v>
      </c>
      <c r="C159" s="148" t="s">
        <v>35</v>
      </c>
      <c r="D159" s="157">
        <v>5.3613999999999997</v>
      </c>
      <c r="E159" s="182"/>
      <c r="F159" s="182"/>
      <c r="G159" s="3"/>
      <c r="H159" s="3"/>
      <c r="I159" s="3"/>
      <c r="J159" s="243"/>
    </row>
    <row r="160" spans="1:10" s="39" customFormat="1" ht="15" customHeight="1" x14ac:dyDescent="0.2">
      <c r="A160" s="226" t="s">
        <v>533</v>
      </c>
      <c r="B160" s="156" t="s">
        <v>124</v>
      </c>
      <c r="C160" s="193" t="s">
        <v>3</v>
      </c>
      <c r="D160" s="157">
        <v>22</v>
      </c>
      <c r="E160" s="182"/>
      <c r="F160" s="182"/>
      <c r="G160" s="3"/>
      <c r="H160" s="3"/>
      <c r="I160" s="3"/>
      <c r="J160" s="243"/>
    </row>
    <row r="161" spans="1:10" s="39" customFormat="1" ht="15" customHeight="1" x14ac:dyDescent="0.2">
      <c r="A161" s="226" t="s">
        <v>534</v>
      </c>
      <c r="B161" s="227" t="s">
        <v>120</v>
      </c>
      <c r="C161" s="193" t="s">
        <v>3</v>
      </c>
      <c r="D161" s="157">
        <v>28</v>
      </c>
      <c r="E161" s="182"/>
      <c r="F161" s="182"/>
      <c r="G161" s="3"/>
      <c r="H161" s="3"/>
      <c r="I161" s="3"/>
      <c r="J161" s="243"/>
    </row>
    <row r="162" spans="1:10" s="39" customFormat="1" ht="15" customHeight="1" x14ac:dyDescent="0.2">
      <c r="A162" s="226" t="s">
        <v>535</v>
      </c>
      <c r="B162" s="156" t="s">
        <v>118</v>
      </c>
      <c r="C162" s="193" t="s">
        <v>3</v>
      </c>
      <c r="D162" s="157">
        <v>21</v>
      </c>
      <c r="E162" s="182"/>
      <c r="F162" s="182"/>
      <c r="G162" s="3"/>
      <c r="H162" s="3"/>
      <c r="I162" s="3"/>
      <c r="J162" s="243"/>
    </row>
    <row r="163" spans="1:10" s="39" customFormat="1" ht="15" customHeight="1" x14ac:dyDescent="0.2">
      <c r="A163" s="226" t="s">
        <v>536</v>
      </c>
      <c r="B163" s="156" t="s">
        <v>119</v>
      </c>
      <c r="C163" s="193" t="s">
        <v>3</v>
      </c>
      <c r="D163" s="157">
        <v>1</v>
      </c>
      <c r="E163" s="182"/>
      <c r="F163" s="182"/>
      <c r="G163" s="3"/>
      <c r="H163" s="3"/>
      <c r="I163" s="3"/>
      <c r="J163" s="243"/>
    </row>
    <row r="164" spans="1:10" s="39" customFormat="1" ht="15" customHeight="1" x14ac:dyDescent="0.2">
      <c r="A164" s="226" t="s">
        <v>537</v>
      </c>
      <c r="B164" s="156" t="s">
        <v>125</v>
      </c>
      <c r="C164" s="193" t="s">
        <v>3</v>
      </c>
      <c r="D164" s="157">
        <v>20</v>
      </c>
      <c r="E164" s="182"/>
      <c r="F164" s="182"/>
      <c r="G164" s="3"/>
      <c r="H164" s="3"/>
      <c r="I164" s="3"/>
      <c r="J164" s="243"/>
    </row>
    <row r="165" spans="1:10" s="39" customFormat="1" ht="15" customHeight="1" x14ac:dyDescent="0.2">
      <c r="A165" s="226" t="s">
        <v>538</v>
      </c>
      <c r="B165" s="156" t="s">
        <v>207</v>
      </c>
      <c r="C165" s="193" t="s">
        <v>3</v>
      </c>
      <c r="D165" s="157">
        <v>4</v>
      </c>
      <c r="E165" s="182"/>
      <c r="F165" s="182"/>
      <c r="G165" s="3"/>
      <c r="H165" s="3"/>
      <c r="I165" s="3"/>
      <c r="J165" s="243"/>
    </row>
    <row r="166" spans="1:10" s="39" customFormat="1" ht="15" customHeight="1" x14ac:dyDescent="0.2">
      <c r="A166" s="226" t="s">
        <v>539</v>
      </c>
      <c r="B166" s="156" t="s">
        <v>126</v>
      </c>
      <c r="C166" s="193" t="s">
        <v>3</v>
      </c>
      <c r="D166" s="157">
        <v>15</v>
      </c>
      <c r="E166" s="182"/>
      <c r="F166" s="182"/>
      <c r="G166" s="3"/>
      <c r="H166" s="3"/>
      <c r="I166" s="3"/>
      <c r="J166" s="243"/>
    </row>
    <row r="167" spans="1:10" s="39" customFormat="1" ht="15.75" x14ac:dyDescent="0.25">
      <c r="A167" s="226"/>
      <c r="B167" s="16" t="s">
        <v>61</v>
      </c>
      <c r="C167" s="252"/>
      <c r="D167" s="252"/>
      <c r="E167" s="252"/>
      <c r="F167" s="252"/>
      <c r="G167" s="252"/>
      <c r="H167" s="252"/>
      <c r="I167" s="252"/>
      <c r="J167" s="244"/>
    </row>
    <row r="168" spans="1:10" s="39" customFormat="1" ht="15.75" x14ac:dyDescent="0.25">
      <c r="A168" s="232">
        <v>14</v>
      </c>
      <c r="B168" s="199" t="s">
        <v>17</v>
      </c>
      <c r="C168" s="200"/>
      <c r="D168" s="200"/>
      <c r="E168" s="200"/>
      <c r="F168" s="200"/>
      <c r="G168" s="200"/>
      <c r="H168" s="200"/>
      <c r="I168" s="200"/>
      <c r="J168" s="247"/>
    </row>
    <row r="169" spans="1:10" s="39" customFormat="1" ht="45" x14ac:dyDescent="0.2">
      <c r="A169" s="233" t="s">
        <v>224</v>
      </c>
      <c r="B169" s="194" t="s">
        <v>394</v>
      </c>
      <c r="C169" s="201" t="s">
        <v>39</v>
      </c>
      <c r="D169" s="202">
        <v>1</v>
      </c>
      <c r="E169" s="202"/>
      <c r="F169" s="202"/>
      <c r="G169" s="202"/>
      <c r="H169" s="202"/>
      <c r="I169" s="202"/>
      <c r="J169" s="243"/>
    </row>
    <row r="170" spans="1:10" s="39" customFormat="1" x14ac:dyDescent="0.2">
      <c r="A170" s="233" t="s">
        <v>225</v>
      </c>
      <c r="B170" s="203" t="s">
        <v>395</v>
      </c>
      <c r="C170" s="204" t="s">
        <v>39</v>
      </c>
      <c r="D170" s="205">
        <v>1</v>
      </c>
      <c r="E170" s="205"/>
      <c r="F170" s="205"/>
      <c r="G170" s="206"/>
      <c r="H170" s="206"/>
      <c r="I170" s="206"/>
      <c r="J170" s="243"/>
    </row>
    <row r="171" spans="1:10" s="39" customFormat="1" x14ac:dyDescent="0.2">
      <c r="A171" s="233" t="s">
        <v>226</v>
      </c>
      <c r="B171" s="203" t="s">
        <v>154</v>
      </c>
      <c r="C171" s="204" t="s">
        <v>39</v>
      </c>
      <c r="D171" s="205">
        <v>3</v>
      </c>
      <c r="E171" s="205"/>
      <c r="F171" s="205"/>
      <c r="G171" s="206"/>
      <c r="H171" s="206"/>
      <c r="I171" s="206"/>
      <c r="J171" s="243"/>
    </row>
    <row r="172" spans="1:10" s="39" customFormat="1" x14ac:dyDescent="0.2">
      <c r="A172" s="233" t="s">
        <v>227</v>
      </c>
      <c r="B172" s="203" t="s">
        <v>352</v>
      </c>
      <c r="C172" s="204" t="s">
        <v>39</v>
      </c>
      <c r="D172" s="205">
        <v>1</v>
      </c>
      <c r="E172" s="205"/>
      <c r="F172" s="205"/>
      <c r="G172" s="206"/>
      <c r="H172" s="206"/>
      <c r="I172" s="206"/>
      <c r="J172" s="243"/>
    </row>
    <row r="173" spans="1:10" s="39" customFormat="1" x14ac:dyDescent="0.2">
      <c r="A173" s="233" t="s">
        <v>443</v>
      </c>
      <c r="B173" s="203" t="s">
        <v>155</v>
      </c>
      <c r="C173" s="204" t="s">
        <v>39</v>
      </c>
      <c r="D173" s="205">
        <v>4</v>
      </c>
      <c r="E173" s="205"/>
      <c r="F173" s="205"/>
      <c r="G173" s="206"/>
      <c r="H173" s="206"/>
      <c r="I173" s="206"/>
      <c r="J173" s="243"/>
    </row>
    <row r="174" spans="1:10" s="39" customFormat="1" x14ac:dyDescent="0.2">
      <c r="A174" s="233" t="s">
        <v>445</v>
      </c>
      <c r="B174" s="203" t="s">
        <v>396</v>
      </c>
      <c r="C174" s="204" t="s">
        <v>3</v>
      </c>
      <c r="D174" s="205">
        <v>6</v>
      </c>
      <c r="E174" s="205"/>
      <c r="F174" s="205"/>
      <c r="G174" s="206"/>
      <c r="H174" s="206"/>
      <c r="I174" s="206"/>
      <c r="J174" s="243"/>
    </row>
    <row r="175" spans="1:10" s="39" customFormat="1" x14ac:dyDescent="0.2">
      <c r="A175" s="233" t="s">
        <v>540</v>
      </c>
      <c r="B175" s="203" t="s">
        <v>397</v>
      </c>
      <c r="C175" s="204" t="s">
        <v>39</v>
      </c>
      <c r="D175" s="205">
        <v>2</v>
      </c>
      <c r="E175" s="205"/>
      <c r="F175" s="205"/>
      <c r="G175" s="206"/>
      <c r="H175" s="206"/>
      <c r="I175" s="206"/>
      <c r="J175" s="243"/>
    </row>
    <row r="176" spans="1:10" s="39" customFormat="1" x14ac:dyDescent="0.2">
      <c r="A176" s="233" t="s">
        <v>541</v>
      </c>
      <c r="B176" s="203" t="s">
        <v>156</v>
      </c>
      <c r="C176" s="204" t="s">
        <v>39</v>
      </c>
      <c r="D176" s="205">
        <v>10</v>
      </c>
      <c r="E176" s="205"/>
      <c r="F176" s="205"/>
      <c r="G176" s="206"/>
      <c r="H176" s="206"/>
      <c r="I176" s="206"/>
      <c r="J176" s="243"/>
    </row>
    <row r="177" spans="1:10" s="39" customFormat="1" x14ac:dyDescent="0.2">
      <c r="A177" s="233" t="s">
        <v>542</v>
      </c>
      <c r="B177" s="203" t="s">
        <v>353</v>
      </c>
      <c r="C177" s="207" t="s">
        <v>35</v>
      </c>
      <c r="D177" s="205">
        <v>6</v>
      </c>
      <c r="E177" s="205"/>
      <c r="F177" s="205"/>
      <c r="G177" s="206"/>
      <c r="H177" s="206"/>
      <c r="I177" s="206"/>
      <c r="J177" s="243"/>
    </row>
    <row r="178" spans="1:10" s="39" customFormat="1" x14ac:dyDescent="0.2">
      <c r="A178" s="233" t="s">
        <v>543</v>
      </c>
      <c r="B178" s="203" t="s">
        <v>354</v>
      </c>
      <c r="C178" s="207" t="s">
        <v>35</v>
      </c>
      <c r="D178" s="205">
        <v>21</v>
      </c>
      <c r="E178" s="205"/>
      <c r="F178" s="205"/>
      <c r="G178" s="206"/>
      <c r="H178" s="206"/>
      <c r="I178" s="206"/>
      <c r="J178" s="243"/>
    </row>
    <row r="179" spans="1:10" s="39" customFormat="1" x14ac:dyDescent="0.2">
      <c r="A179" s="233" t="s">
        <v>544</v>
      </c>
      <c r="B179" s="203" t="s">
        <v>145</v>
      </c>
      <c r="C179" s="208" t="s">
        <v>35</v>
      </c>
      <c r="D179" s="205">
        <v>50</v>
      </c>
      <c r="E179" s="205"/>
      <c r="F179" s="205"/>
      <c r="G179" s="206"/>
      <c r="H179" s="206"/>
      <c r="I179" s="206"/>
      <c r="J179" s="243"/>
    </row>
    <row r="180" spans="1:10" s="39" customFormat="1" x14ac:dyDescent="0.2">
      <c r="A180" s="233" t="s">
        <v>545</v>
      </c>
      <c r="B180" s="203" t="s">
        <v>355</v>
      </c>
      <c r="C180" s="208" t="s">
        <v>35</v>
      </c>
      <c r="D180" s="205">
        <v>6</v>
      </c>
      <c r="E180" s="206"/>
      <c r="F180" s="206"/>
      <c r="G180" s="206"/>
      <c r="H180" s="206"/>
      <c r="I180" s="206"/>
      <c r="J180" s="243"/>
    </row>
    <row r="181" spans="1:10" s="39" customFormat="1" x14ac:dyDescent="0.2">
      <c r="A181" s="233" t="s">
        <v>546</v>
      </c>
      <c r="B181" s="203" t="s">
        <v>147</v>
      </c>
      <c r="C181" s="208" t="s">
        <v>35</v>
      </c>
      <c r="D181" s="205">
        <v>26</v>
      </c>
      <c r="E181" s="205"/>
      <c r="F181" s="205"/>
      <c r="G181" s="206"/>
      <c r="H181" s="206"/>
      <c r="I181" s="206"/>
      <c r="J181" s="243"/>
    </row>
    <row r="182" spans="1:10" s="39" customFormat="1" x14ac:dyDescent="0.2">
      <c r="A182" s="233" t="s">
        <v>547</v>
      </c>
      <c r="B182" s="203" t="s">
        <v>146</v>
      </c>
      <c r="C182" s="208" t="s">
        <v>39</v>
      </c>
      <c r="D182" s="205">
        <v>59</v>
      </c>
      <c r="E182" s="205"/>
      <c r="F182" s="205"/>
      <c r="G182" s="206"/>
      <c r="H182" s="206"/>
      <c r="I182" s="206"/>
      <c r="J182" s="243"/>
    </row>
    <row r="183" spans="1:10" s="39" customFormat="1" x14ac:dyDescent="0.2">
      <c r="A183" s="233" t="s">
        <v>548</v>
      </c>
      <c r="B183" s="203" t="s">
        <v>356</v>
      </c>
      <c r="C183" s="208" t="s">
        <v>39</v>
      </c>
      <c r="D183" s="205">
        <v>2</v>
      </c>
      <c r="E183" s="205"/>
      <c r="F183" s="205"/>
      <c r="G183" s="206"/>
      <c r="H183" s="206"/>
      <c r="I183" s="206"/>
      <c r="J183" s="243"/>
    </row>
    <row r="184" spans="1:10" s="39" customFormat="1" x14ac:dyDescent="0.2">
      <c r="A184" s="233" t="s">
        <v>549</v>
      </c>
      <c r="B184" s="203" t="s">
        <v>357</v>
      </c>
      <c r="C184" s="204" t="s">
        <v>39</v>
      </c>
      <c r="D184" s="205">
        <v>1</v>
      </c>
      <c r="E184" s="205"/>
      <c r="F184" s="205"/>
      <c r="G184" s="206"/>
      <c r="H184" s="206"/>
      <c r="I184" s="206"/>
      <c r="J184" s="243"/>
    </row>
    <row r="185" spans="1:10" s="39" customFormat="1" x14ac:dyDescent="0.2">
      <c r="A185" s="233" t="s">
        <v>550</v>
      </c>
      <c r="B185" s="203" t="s">
        <v>358</v>
      </c>
      <c r="C185" s="204" t="s">
        <v>39</v>
      </c>
      <c r="D185" s="205">
        <v>12</v>
      </c>
      <c r="E185" s="205"/>
      <c r="F185" s="205"/>
      <c r="G185" s="206"/>
      <c r="H185" s="206"/>
      <c r="I185" s="206"/>
      <c r="J185" s="243"/>
    </row>
    <row r="186" spans="1:10" s="39" customFormat="1" x14ac:dyDescent="0.2">
      <c r="A186" s="233" t="s">
        <v>551</v>
      </c>
      <c r="B186" s="203" t="s">
        <v>359</v>
      </c>
      <c r="C186" s="204" t="s">
        <v>39</v>
      </c>
      <c r="D186" s="205">
        <v>20</v>
      </c>
      <c r="E186" s="205"/>
      <c r="F186" s="205"/>
      <c r="G186" s="206"/>
      <c r="H186" s="206"/>
      <c r="I186" s="206"/>
      <c r="J186" s="243"/>
    </row>
    <row r="187" spans="1:10" s="39" customFormat="1" x14ac:dyDescent="0.2">
      <c r="A187" s="233" t="s">
        <v>552</v>
      </c>
      <c r="B187" s="203" t="s">
        <v>360</v>
      </c>
      <c r="C187" s="204" t="s">
        <v>39</v>
      </c>
      <c r="D187" s="205">
        <v>6</v>
      </c>
      <c r="E187" s="205"/>
      <c r="F187" s="205"/>
      <c r="G187" s="206"/>
      <c r="H187" s="206"/>
      <c r="I187" s="206"/>
      <c r="J187" s="243"/>
    </row>
    <row r="188" spans="1:10" s="39" customFormat="1" x14ac:dyDescent="0.2">
      <c r="A188" s="233" t="s">
        <v>553</v>
      </c>
      <c r="B188" s="203" t="s">
        <v>149</v>
      </c>
      <c r="C188" s="204" t="s">
        <v>39</v>
      </c>
      <c r="D188" s="205">
        <v>2</v>
      </c>
      <c r="E188" s="205"/>
      <c r="F188" s="205"/>
      <c r="G188" s="206"/>
      <c r="H188" s="206"/>
      <c r="I188" s="206"/>
      <c r="J188" s="243"/>
    </row>
    <row r="189" spans="1:10" s="39" customFormat="1" ht="30" x14ac:dyDescent="0.2">
      <c r="A189" s="233" t="s">
        <v>554</v>
      </c>
      <c r="B189" s="194" t="s">
        <v>361</v>
      </c>
      <c r="C189" s="209" t="s">
        <v>35</v>
      </c>
      <c r="D189" s="210">
        <v>23.9</v>
      </c>
      <c r="E189" s="210"/>
      <c r="F189" s="210"/>
      <c r="G189" s="211"/>
      <c r="H189" s="211"/>
      <c r="I189" s="211"/>
      <c r="J189" s="243"/>
    </row>
    <row r="190" spans="1:10" s="39" customFormat="1" x14ac:dyDescent="0.2">
      <c r="A190" s="233" t="s">
        <v>555</v>
      </c>
      <c r="B190" s="203" t="s">
        <v>362</v>
      </c>
      <c r="C190" s="204" t="s">
        <v>39</v>
      </c>
      <c r="D190" s="205">
        <v>2</v>
      </c>
      <c r="E190" s="205"/>
      <c r="F190" s="205"/>
      <c r="G190" s="206"/>
      <c r="H190" s="206"/>
      <c r="I190" s="206"/>
      <c r="J190" s="243"/>
    </row>
    <row r="191" spans="1:10" s="39" customFormat="1" x14ac:dyDescent="0.2">
      <c r="A191" s="233" t="s">
        <v>556</v>
      </c>
      <c r="B191" s="203" t="s">
        <v>363</v>
      </c>
      <c r="C191" s="204" t="s">
        <v>39</v>
      </c>
      <c r="D191" s="205">
        <v>2</v>
      </c>
      <c r="E191" s="205"/>
      <c r="F191" s="205"/>
      <c r="G191" s="206"/>
      <c r="H191" s="206"/>
      <c r="I191" s="206"/>
      <c r="J191" s="243"/>
    </row>
    <row r="192" spans="1:10" s="39" customFormat="1" x14ac:dyDescent="0.2">
      <c r="A192" s="233" t="s">
        <v>557</v>
      </c>
      <c r="B192" s="203" t="s">
        <v>364</v>
      </c>
      <c r="C192" s="204" t="s">
        <v>39</v>
      </c>
      <c r="D192" s="205">
        <v>4</v>
      </c>
      <c r="E192" s="205"/>
      <c r="F192" s="205"/>
      <c r="G192" s="206"/>
      <c r="H192" s="206"/>
      <c r="I192" s="206"/>
      <c r="J192" s="243"/>
    </row>
    <row r="193" spans="1:10" s="39" customFormat="1" x14ac:dyDescent="0.2">
      <c r="A193" s="233" t="s">
        <v>558</v>
      </c>
      <c r="B193" s="203" t="s">
        <v>365</v>
      </c>
      <c r="C193" s="204" t="s">
        <v>39</v>
      </c>
      <c r="D193" s="205">
        <v>1</v>
      </c>
      <c r="E193" s="205"/>
      <c r="F193" s="205"/>
      <c r="G193" s="206"/>
      <c r="H193" s="206"/>
      <c r="I193" s="206"/>
      <c r="J193" s="243"/>
    </row>
    <row r="194" spans="1:10" s="39" customFormat="1" x14ac:dyDescent="0.2">
      <c r="A194" s="233" t="s">
        <v>559</v>
      </c>
      <c r="B194" s="203" t="s">
        <v>366</v>
      </c>
      <c r="C194" s="204" t="s">
        <v>39</v>
      </c>
      <c r="D194" s="205">
        <v>3</v>
      </c>
      <c r="E194" s="205"/>
      <c r="F194" s="205"/>
      <c r="G194" s="206"/>
      <c r="H194" s="206"/>
      <c r="I194" s="206"/>
      <c r="J194" s="243"/>
    </row>
    <row r="195" spans="1:10" s="39" customFormat="1" x14ac:dyDescent="0.2">
      <c r="A195" s="233" t="s">
        <v>560</v>
      </c>
      <c r="B195" s="203" t="s">
        <v>367</v>
      </c>
      <c r="C195" s="204" t="s">
        <v>39</v>
      </c>
      <c r="D195" s="205">
        <v>9</v>
      </c>
      <c r="E195" s="205"/>
      <c r="F195" s="205"/>
      <c r="G195" s="206"/>
      <c r="H195" s="206"/>
      <c r="I195" s="206"/>
      <c r="J195" s="243"/>
    </row>
    <row r="196" spans="1:10" s="39" customFormat="1" x14ac:dyDescent="0.2">
      <c r="A196" s="233" t="s">
        <v>561</v>
      </c>
      <c r="B196" s="203" t="s">
        <v>148</v>
      </c>
      <c r="C196" s="208" t="s">
        <v>35</v>
      </c>
      <c r="D196" s="205">
        <v>495</v>
      </c>
      <c r="E196" s="205"/>
      <c r="F196" s="205"/>
      <c r="G196" s="206"/>
      <c r="H196" s="206"/>
      <c r="I196" s="206"/>
      <c r="J196" s="243"/>
    </row>
    <row r="197" spans="1:10" s="39" customFormat="1" x14ac:dyDescent="0.2">
      <c r="A197" s="233" t="s">
        <v>562</v>
      </c>
      <c r="B197" s="203" t="s">
        <v>201</v>
      </c>
      <c r="C197" s="208" t="s">
        <v>35</v>
      </c>
      <c r="D197" s="205">
        <v>860</v>
      </c>
      <c r="E197" s="205"/>
      <c r="F197" s="205"/>
      <c r="G197" s="206"/>
      <c r="H197" s="206"/>
      <c r="I197" s="206"/>
      <c r="J197" s="243"/>
    </row>
    <row r="198" spans="1:10" s="39" customFormat="1" x14ac:dyDescent="0.2">
      <c r="A198" s="233" t="s">
        <v>563</v>
      </c>
      <c r="B198" s="203" t="s">
        <v>368</v>
      </c>
      <c r="C198" s="208" t="s">
        <v>35</v>
      </c>
      <c r="D198" s="205">
        <v>3</v>
      </c>
      <c r="E198" s="205"/>
      <c r="F198" s="205"/>
      <c r="G198" s="206"/>
      <c r="H198" s="206"/>
      <c r="I198" s="206"/>
      <c r="J198" s="243"/>
    </row>
    <row r="199" spans="1:10" s="39" customFormat="1" x14ac:dyDescent="0.2">
      <c r="A199" s="233" t="s">
        <v>564</v>
      </c>
      <c r="B199" s="203" t="s">
        <v>369</v>
      </c>
      <c r="C199" s="204" t="s">
        <v>35</v>
      </c>
      <c r="D199" s="205">
        <v>80</v>
      </c>
      <c r="E199" s="205"/>
      <c r="F199" s="205"/>
      <c r="G199" s="206"/>
      <c r="H199" s="206"/>
      <c r="I199" s="206"/>
      <c r="J199" s="243"/>
    </row>
    <row r="200" spans="1:10" s="39" customFormat="1" ht="60" x14ac:dyDescent="0.2">
      <c r="A200" s="233" t="s">
        <v>565</v>
      </c>
      <c r="B200" s="194" t="s">
        <v>150</v>
      </c>
      <c r="C200" s="201" t="s">
        <v>39</v>
      </c>
      <c r="D200" s="202">
        <v>6</v>
      </c>
      <c r="E200" s="202"/>
      <c r="F200" s="202"/>
      <c r="G200" s="202"/>
      <c r="H200" s="202"/>
      <c r="I200" s="202"/>
      <c r="J200" s="243"/>
    </row>
    <row r="201" spans="1:10" s="39" customFormat="1" ht="75" x14ac:dyDescent="0.2">
      <c r="A201" s="233" t="s">
        <v>566</v>
      </c>
      <c r="B201" s="194" t="s">
        <v>151</v>
      </c>
      <c r="C201" s="201" t="s">
        <v>39</v>
      </c>
      <c r="D201" s="202">
        <v>4</v>
      </c>
      <c r="E201" s="202"/>
      <c r="F201" s="202"/>
      <c r="G201" s="202"/>
      <c r="H201" s="202"/>
      <c r="I201" s="202"/>
      <c r="J201" s="243"/>
    </row>
    <row r="202" spans="1:10" s="39" customFormat="1" ht="90" x14ac:dyDescent="0.2">
      <c r="A202" s="233" t="s">
        <v>567</v>
      </c>
      <c r="B202" s="194" t="s">
        <v>152</v>
      </c>
      <c r="C202" s="201" t="s">
        <v>39</v>
      </c>
      <c r="D202" s="202">
        <v>2</v>
      </c>
      <c r="E202" s="202"/>
      <c r="F202" s="202"/>
      <c r="G202" s="202"/>
      <c r="H202" s="202"/>
      <c r="I202" s="202"/>
      <c r="J202" s="243"/>
    </row>
    <row r="203" spans="1:10" s="39" customFormat="1" ht="105" x14ac:dyDescent="0.2">
      <c r="A203" s="233" t="s">
        <v>568</v>
      </c>
      <c r="B203" s="194" t="s">
        <v>370</v>
      </c>
      <c r="C203" s="201" t="s">
        <v>39</v>
      </c>
      <c r="D203" s="202">
        <v>2</v>
      </c>
      <c r="E203" s="202"/>
      <c r="F203" s="202"/>
      <c r="G203" s="202"/>
      <c r="H203" s="202"/>
      <c r="I203" s="202"/>
      <c r="J203" s="243"/>
    </row>
    <row r="204" spans="1:10" s="39" customFormat="1" ht="60" x14ac:dyDescent="0.2">
      <c r="A204" s="233" t="s">
        <v>569</v>
      </c>
      <c r="B204" s="194" t="s">
        <v>398</v>
      </c>
      <c r="C204" s="201" t="s">
        <v>39</v>
      </c>
      <c r="D204" s="202">
        <v>4</v>
      </c>
      <c r="E204" s="202"/>
      <c r="F204" s="202"/>
      <c r="G204" s="202"/>
      <c r="H204" s="202"/>
      <c r="I204" s="202"/>
      <c r="J204" s="243"/>
    </row>
    <row r="205" spans="1:10" s="39" customFormat="1" ht="60" x14ac:dyDescent="0.2">
      <c r="A205" s="233" t="s">
        <v>570</v>
      </c>
      <c r="B205" s="194" t="s">
        <v>153</v>
      </c>
      <c r="C205" s="201" t="s">
        <v>39</v>
      </c>
      <c r="D205" s="202">
        <v>3</v>
      </c>
      <c r="E205" s="202"/>
      <c r="F205" s="202"/>
      <c r="G205" s="202"/>
      <c r="H205" s="202"/>
      <c r="I205" s="202"/>
      <c r="J205" s="243"/>
    </row>
    <row r="206" spans="1:10" s="39" customFormat="1" x14ac:dyDescent="0.2">
      <c r="A206" s="233" t="s">
        <v>571</v>
      </c>
      <c r="B206" s="203" t="s">
        <v>202</v>
      </c>
      <c r="C206" s="212" t="s">
        <v>39</v>
      </c>
      <c r="D206" s="205">
        <v>2</v>
      </c>
      <c r="E206" s="205"/>
      <c r="F206" s="205"/>
      <c r="G206" s="206"/>
      <c r="H206" s="206"/>
      <c r="I206" s="206"/>
      <c r="J206" s="243"/>
    </row>
    <row r="207" spans="1:10" s="39" customFormat="1" x14ac:dyDescent="0.2">
      <c r="A207" s="233" t="s">
        <v>572</v>
      </c>
      <c r="B207" s="203" t="s">
        <v>203</v>
      </c>
      <c r="C207" s="212" t="s">
        <v>3</v>
      </c>
      <c r="D207" s="205">
        <v>21</v>
      </c>
      <c r="E207" s="205"/>
      <c r="F207" s="205"/>
      <c r="G207" s="206"/>
      <c r="H207" s="206"/>
      <c r="I207" s="206"/>
      <c r="J207" s="243"/>
    </row>
    <row r="208" spans="1:10" s="39" customFormat="1" ht="15.75" x14ac:dyDescent="0.25">
      <c r="A208" s="233"/>
      <c r="B208" s="213" t="s">
        <v>157</v>
      </c>
      <c r="C208" s="214"/>
      <c r="D208" s="214"/>
      <c r="E208" s="214"/>
      <c r="F208" s="214"/>
      <c r="G208" s="206"/>
      <c r="H208" s="206"/>
      <c r="I208" s="206"/>
      <c r="J208" s="248"/>
    </row>
    <row r="209" spans="1:10" s="39" customFormat="1" x14ac:dyDescent="0.2">
      <c r="A209" s="233" t="s">
        <v>573</v>
      </c>
      <c r="B209" s="203" t="s">
        <v>147</v>
      </c>
      <c r="C209" s="204" t="s">
        <v>35</v>
      </c>
      <c r="D209" s="205">
        <v>3</v>
      </c>
      <c r="E209" s="205"/>
      <c r="F209" s="205"/>
      <c r="G209" s="206"/>
      <c r="H209" s="206"/>
      <c r="I209" s="206"/>
      <c r="J209" s="243"/>
    </row>
    <row r="210" spans="1:10" s="39" customFormat="1" x14ac:dyDescent="0.2">
      <c r="A210" s="233" t="s">
        <v>574</v>
      </c>
      <c r="B210" s="203" t="s">
        <v>367</v>
      </c>
      <c r="C210" s="204" t="s">
        <v>39</v>
      </c>
      <c r="D210" s="205">
        <v>9</v>
      </c>
      <c r="E210" s="205"/>
      <c r="F210" s="205"/>
      <c r="G210" s="206"/>
      <c r="H210" s="3"/>
      <c r="I210" s="206"/>
      <c r="J210" s="243"/>
    </row>
    <row r="211" spans="1:10" s="39" customFormat="1" ht="15.75" x14ac:dyDescent="0.25">
      <c r="A211" s="226"/>
      <c r="B211" s="16" t="s">
        <v>61</v>
      </c>
      <c r="C211" s="176"/>
      <c r="D211" s="176"/>
      <c r="E211" s="176"/>
      <c r="F211" s="176"/>
      <c r="G211" s="176"/>
      <c r="H211" s="176"/>
      <c r="I211" s="176"/>
      <c r="J211" s="244"/>
    </row>
    <row r="212" spans="1:10" s="39" customFormat="1" ht="15.75" x14ac:dyDescent="0.25">
      <c r="A212" s="222">
        <v>15</v>
      </c>
      <c r="B212" s="215" t="s">
        <v>18</v>
      </c>
      <c r="C212" s="148"/>
      <c r="D212" s="148"/>
      <c r="E212" s="148"/>
      <c r="F212" s="148"/>
      <c r="G212" s="148"/>
      <c r="H212" s="148"/>
      <c r="I212" s="148"/>
      <c r="J212" s="246"/>
    </row>
    <row r="213" spans="1:10" s="39" customFormat="1" x14ac:dyDescent="0.2">
      <c r="A213" s="226" t="s">
        <v>575</v>
      </c>
      <c r="B213" s="163" t="s">
        <v>116</v>
      </c>
      <c r="C213" s="148" t="s">
        <v>41</v>
      </c>
      <c r="D213" s="3">
        <v>156.01</v>
      </c>
      <c r="E213" s="182"/>
      <c r="F213" s="182"/>
      <c r="G213" s="3"/>
      <c r="H213" s="3"/>
      <c r="I213" s="3"/>
      <c r="J213" s="243"/>
    </row>
    <row r="214" spans="1:10" s="39" customFormat="1" ht="30" x14ac:dyDescent="0.2">
      <c r="A214" s="226" t="s">
        <v>576</v>
      </c>
      <c r="B214" s="163" t="s">
        <v>195</v>
      </c>
      <c r="C214" s="148" t="s">
        <v>41</v>
      </c>
      <c r="D214" s="3">
        <v>152.34</v>
      </c>
      <c r="E214" s="182"/>
      <c r="F214" s="182"/>
      <c r="G214" s="3"/>
      <c r="H214" s="3"/>
      <c r="I214" s="3"/>
      <c r="J214" s="243"/>
    </row>
    <row r="215" spans="1:10" s="39" customFormat="1" x14ac:dyDescent="0.2">
      <c r="A215" s="226" t="s">
        <v>577</v>
      </c>
      <c r="B215" s="163" t="s">
        <v>110</v>
      </c>
      <c r="C215" s="148" t="s">
        <v>41</v>
      </c>
      <c r="D215" s="3">
        <v>156.01</v>
      </c>
      <c r="E215" s="182"/>
      <c r="F215" s="182"/>
      <c r="G215" s="3"/>
      <c r="H215" s="3"/>
      <c r="I215" s="3"/>
      <c r="J215" s="243"/>
    </row>
    <row r="216" spans="1:10" s="39" customFormat="1" ht="30" x14ac:dyDescent="0.2">
      <c r="A216" s="226" t="s">
        <v>578</v>
      </c>
      <c r="B216" s="163" t="s">
        <v>194</v>
      </c>
      <c r="C216" s="148" t="s">
        <v>41</v>
      </c>
      <c r="D216" s="3">
        <v>342.56</v>
      </c>
      <c r="E216" s="182"/>
      <c r="F216" s="182"/>
      <c r="G216" s="3"/>
      <c r="H216" s="3"/>
      <c r="I216" s="3"/>
      <c r="J216" s="243"/>
    </row>
    <row r="217" spans="1:10" s="39" customFormat="1" ht="15.75" x14ac:dyDescent="0.25">
      <c r="A217" s="226"/>
      <c r="B217" s="16" t="s">
        <v>61</v>
      </c>
      <c r="C217" s="253"/>
      <c r="D217" s="254"/>
      <c r="E217" s="254"/>
      <c r="F217" s="254"/>
      <c r="G217" s="254"/>
      <c r="H217" s="254"/>
      <c r="I217" s="255"/>
      <c r="J217" s="244"/>
    </row>
    <row r="218" spans="1:10" s="39" customFormat="1" ht="15.75" x14ac:dyDescent="0.25">
      <c r="A218" s="222">
        <v>16</v>
      </c>
      <c r="B218" s="216" t="s">
        <v>325</v>
      </c>
      <c r="C218" s="217"/>
      <c r="D218" s="217"/>
      <c r="E218" s="217"/>
      <c r="F218" s="217"/>
      <c r="G218" s="217"/>
      <c r="H218" s="217"/>
      <c r="I218" s="217"/>
      <c r="J218" s="244"/>
    </row>
    <row r="219" spans="1:10" s="39" customFormat="1" ht="15.75" x14ac:dyDescent="0.25">
      <c r="A219" s="222" t="s">
        <v>138</v>
      </c>
      <c r="B219" s="216" t="s">
        <v>339</v>
      </c>
      <c r="C219" s="217"/>
      <c r="D219" s="217"/>
      <c r="E219" s="217"/>
      <c r="F219" s="217"/>
      <c r="G219" s="217"/>
      <c r="H219" s="217"/>
      <c r="I219" s="217"/>
      <c r="J219" s="244"/>
    </row>
    <row r="220" spans="1:10" s="39" customFormat="1" x14ac:dyDescent="0.2">
      <c r="A220" s="226" t="s">
        <v>307</v>
      </c>
      <c r="B220" s="181" t="s">
        <v>329</v>
      </c>
      <c r="C220" s="148" t="s">
        <v>39</v>
      </c>
      <c r="D220" s="3">
        <v>2</v>
      </c>
      <c r="E220" s="3"/>
      <c r="F220" s="3"/>
      <c r="G220" s="3"/>
      <c r="H220" s="3"/>
      <c r="I220" s="3"/>
      <c r="J220" s="243"/>
    </row>
    <row r="221" spans="1:10" s="39" customFormat="1" x14ac:dyDescent="0.2">
      <c r="A221" s="226" t="s">
        <v>308</v>
      </c>
      <c r="B221" s="181" t="s">
        <v>330</v>
      </c>
      <c r="C221" s="148" t="s">
        <v>39</v>
      </c>
      <c r="D221" s="3">
        <v>12</v>
      </c>
      <c r="E221" s="3"/>
      <c r="F221" s="3"/>
      <c r="G221" s="3"/>
      <c r="H221" s="3"/>
      <c r="I221" s="3"/>
      <c r="J221" s="243"/>
    </row>
    <row r="222" spans="1:10" s="39" customFormat="1" x14ac:dyDescent="0.2">
      <c r="A222" s="226" t="s">
        <v>309</v>
      </c>
      <c r="B222" s="181" t="s">
        <v>331</v>
      </c>
      <c r="C222" s="148" t="s">
        <v>35</v>
      </c>
      <c r="D222" s="3">
        <v>54</v>
      </c>
      <c r="E222" s="3"/>
      <c r="F222" s="3"/>
      <c r="G222" s="3"/>
      <c r="H222" s="3"/>
      <c r="I222" s="3"/>
      <c r="J222" s="243"/>
    </row>
    <row r="223" spans="1:10" s="39" customFormat="1" x14ac:dyDescent="0.2">
      <c r="A223" s="226" t="s">
        <v>310</v>
      </c>
      <c r="B223" s="181" t="s">
        <v>332</v>
      </c>
      <c r="C223" s="148" t="s">
        <v>44</v>
      </c>
      <c r="D223" s="3">
        <v>4</v>
      </c>
      <c r="E223" s="3"/>
      <c r="F223" s="3"/>
      <c r="G223" s="3"/>
      <c r="H223" s="3"/>
      <c r="I223" s="3"/>
      <c r="J223" s="243"/>
    </row>
    <row r="224" spans="1:10" s="39" customFormat="1" x14ac:dyDescent="0.2">
      <c r="A224" s="226" t="s">
        <v>579</v>
      </c>
      <c r="B224" s="181" t="s">
        <v>333</v>
      </c>
      <c r="C224" s="148" t="s">
        <v>44</v>
      </c>
      <c r="D224" s="3">
        <v>8</v>
      </c>
      <c r="E224" s="3"/>
      <c r="F224" s="3"/>
      <c r="G224" s="3"/>
      <c r="H224" s="3"/>
      <c r="I224" s="3"/>
      <c r="J224" s="243"/>
    </row>
    <row r="225" spans="1:10" s="39" customFormat="1" x14ac:dyDescent="0.2">
      <c r="A225" s="226" t="s">
        <v>580</v>
      </c>
      <c r="B225" s="181" t="s">
        <v>334</v>
      </c>
      <c r="C225" s="148" t="s">
        <v>44</v>
      </c>
      <c r="D225" s="3">
        <v>4</v>
      </c>
      <c r="E225" s="3"/>
      <c r="F225" s="3"/>
      <c r="G225" s="3"/>
      <c r="H225" s="3"/>
      <c r="I225" s="3"/>
      <c r="J225" s="243"/>
    </row>
    <row r="226" spans="1:10" s="39" customFormat="1" x14ac:dyDescent="0.2">
      <c r="A226" s="226" t="s">
        <v>581</v>
      </c>
      <c r="B226" s="178" t="s">
        <v>335</v>
      </c>
      <c r="C226" s="148" t="s">
        <v>50</v>
      </c>
      <c r="D226" s="3">
        <v>110</v>
      </c>
      <c r="E226" s="3"/>
      <c r="F226" s="3"/>
      <c r="G226" s="3"/>
      <c r="H226" s="3"/>
      <c r="I226" s="3"/>
      <c r="J226" s="243"/>
    </row>
    <row r="227" spans="1:10" s="39" customFormat="1" x14ac:dyDescent="0.2">
      <c r="A227" s="226" t="s">
        <v>582</v>
      </c>
      <c r="B227" s="178" t="s">
        <v>336</v>
      </c>
      <c r="C227" s="148" t="s">
        <v>44</v>
      </c>
      <c r="D227" s="3">
        <v>8</v>
      </c>
      <c r="E227" s="3"/>
      <c r="F227" s="3"/>
      <c r="G227" s="3"/>
      <c r="H227" s="3"/>
      <c r="I227" s="3"/>
      <c r="J227" s="243"/>
    </row>
    <row r="228" spans="1:10" s="39" customFormat="1" x14ac:dyDescent="0.2">
      <c r="A228" s="226" t="s">
        <v>583</v>
      </c>
      <c r="B228" s="178" t="s">
        <v>337</v>
      </c>
      <c r="C228" s="148" t="s">
        <v>44</v>
      </c>
      <c r="D228" s="3">
        <v>2</v>
      </c>
      <c r="E228" s="3"/>
      <c r="F228" s="3"/>
      <c r="G228" s="3"/>
      <c r="H228" s="3"/>
      <c r="I228" s="3"/>
      <c r="J228" s="243"/>
    </row>
    <row r="229" spans="1:10" s="39" customFormat="1" x14ac:dyDescent="0.2">
      <c r="A229" s="226" t="s">
        <v>584</v>
      </c>
      <c r="B229" s="178" t="s">
        <v>338</v>
      </c>
      <c r="C229" s="148" t="s">
        <v>35</v>
      </c>
      <c r="D229" s="3">
        <v>2.4</v>
      </c>
      <c r="E229" s="3"/>
      <c r="F229" s="3"/>
      <c r="G229" s="3"/>
      <c r="H229" s="3"/>
      <c r="I229" s="3"/>
      <c r="J229" s="243"/>
    </row>
    <row r="230" spans="1:10" s="39" customFormat="1" ht="15.75" x14ac:dyDescent="0.25">
      <c r="A230" s="226"/>
      <c r="B230" s="16" t="s">
        <v>61</v>
      </c>
      <c r="C230" s="176"/>
      <c r="D230" s="176"/>
      <c r="E230" s="176"/>
      <c r="F230" s="176"/>
      <c r="G230" s="176"/>
      <c r="H230" s="176"/>
      <c r="I230" s="176"/>
      <c r="J230" s="244"/>
    </row>
    <row r="231" spans="1:10" s="5" customFormat="1" ht="15.75" x14ac:dyDescent="0.25">
      <c r="A231" s="222">
        <v>17</v>
      </c>
      <c r="B231" s="13" t="s">
        <v>20</v>
      </c>
      <c r="C231" s="173"/>
      <c r="D231" s="173"/>
      <c r="E231" s="173"/>
      <c r="F231" s="173"/>
      <c r="G231" s="173"/>
      <c r="H231" s="173"/>
      <c r="I231" s="173"/>
      <c r="J231" s="245"/>
    </row>
    <row r="232" spans="1:10" s="39" customFormat="1" x14ac:dyDescent="0.2">
      <c r="A232" s="226" t="s">
        <v>139</v>
      </c>
      <c r="B232" s="156" t="s">
        <v>187</v>
      </c>
      <c r="C232" s="150" t="s">
        <v>41</v>
      </c>
      <c r="D232" s="3">
        <v>167</v>
      </c>
      <c r="E232" s="187"/>
      <c r="F232" s="182"/>
      <c r="G232" s="3"/>
      <c r="H232" s="3"/>
      <c r="I232" s="3"/>
      <c r="J232" s="243"/>
    </row>
    <row r="233" spans="1:10" s="39" customFormat="1" x14ac:dyDescent="0.2">
      <c r="A233" s="226" t="s">
        <v>140</v>
      </c>
      <c r="B233" s="156" t="s">
        <v>311</v>
      </c>
      <c r="C233" s="150" t="s">
        <v>41</v>
      </c>
      <c r="D233" s="3">
        <v>3</v>
      </c>
      <c r="E233" s="187"/>
      <c r="F233" s="182"/>
      <c r="G233" s="3"/>
      <c r="H233" s="3"/>
      <c r="I233" s="3"/>
      <c r="J233" s="243"/>
    </row>
    <row r="234" spans="1:10" s="39" customFormat="1" x14ac:dyDescent="0.2">
      <c r="A234" s="226" t="s">
        <v>141</v>
      </c>
      <c r="B234" s="92" t="s">
        <v>69</v>
      </c>
      <c r="C234" s="150" t="s">
        <v>41</v>
      </c>
      <c r="D234" s="218">
        <v>2</v>
      </c>
      <c r="E234" s="218"/>
      <c r="F234" s="218"/>
      <c r="G234" s="3"/>
      <c r="H234" s="3"/>
      <c r="I234" s="3"/>
      <c r="J234" s="243"/>
    </row>
    <row r="235" spans="1:10" ht="15.75" x14ac:dyDescent="0.25">
      <c r="A235" s="226"/>
      <c r="B235" s="16" t="s">
        <v>61</v>
      </c>
      <c r="C235" s="176"/>
      <c r="D235" s="176"/>
      <c r="E235" s="176"/>
      <c r="F235" s="176"/>
      <c r="G235" s="176"/>
      <c r="H235" s="176"/>
      <c r="I235" s="176"/>
      <c r="J235" s="244"/>
    </row>
    <row r="236" spans="1:10" ht="15.75" x14ac:dyDescent="0.25">
      <c r="A236" s="226"/>
      <c r="B236" s="20"/>
      <c r="C236" s="17"/>
      <c r="D236" s="18"/>
      <c r="E236" s="18"/>
      <c r="F236" s="18"/>
      <c r="G236" s="18"/>
      <c r="H236" s="18"/>
      <c r="I236" s="19"/>
      <c r="J236" s="243"/>
    </row>
    <row r="237" spans="1:10" ht="15.75" x14ac:dyDescent="0.25">
      <c r="A237" s="226"/>
      <c r="B237" s="20"/>
      <c r="C237" s="290" t="s">
        <v>56</v>
      </c>
      <c r="D237" s="291"/>
      <c r="E237" s="291"/>
      <c r="F237" s="291"/>
      <c r="G237" s="291"/>
      <c r="H237" s="291"/>
      <c r="I237" s="292"/>
      <c r="J237" s="244"/>
    </row>
    <row r="238" spans="1:10" ht="15.75" x14ac:dyDescent="0.25">
      <c r="A238" s="226"/>
      <c r="B238" s="20"/>
      <c r="C238" s="293" t="s">
        <v>25</v>
      </c>
      <c r="D238" s="294"/>
      <c r="E238" s="294"/>
      <c r="F238" s="294"/>
      <c r="G238" s="294"/>
      <c r="H238" s="294"/>
      <c r="I238" s="295"/>
      <c r="J238" s="249"/>
    </row>
    <row r="239" spans="1:10" ht="15.75" x14ac:dyDescent="0.25">
      <c r="A239" s="226"/>
      <c r="B239" s="20"/>
      <c r="C239" s="293" t="s">
        <v>26</v>
      </c>
      <c r="D239" s="294"/>
      <c r="E239" s="294"/>
      <c r="F239" s="294"/>
      <c r="G239" s="294"/>
      <c r="H239" s="294"/>
      <c r="I239" s="295"/>
      <c r="J239" s="249"/>
    </row>
    <row r="240" spans="1:10" ht="15.75" x14ac:dyDescent="0.25">
      <c r="A240" s="226"/>
      <c r="B240" s="20"/>
      <c r="C240" s="293" t="s">
        <v>19</v>
      </c>
      <c r="D240" s="294"/>
      <c r="E240" s="294"/>
      <c r="F240" s="294"/>
      <c r="G240" s="294"/>
      <c r="H240" s="294"/>
      <c r="I240" s="295"/>
      <c r="J240" s="249"/>
    </row>
    <row r="241" spans="1:10" ht="15.75" x14ac:dyDescent="0.25">
      <c r="A241" s="226"/>
      <c r="B241" s="20"/>
      <c r="C241" s="293" t="s">
        <v>591</v>
      </c>
      <c r="D241" s="294"/>
      <c r="E241" s="294"/>
      <c r="F241" s="294"/>
      <c r="G241" s="294"/>
      <c r="H241" s="294"/>
      <c r="I241" s="295"/>
      <c r="J241" s="249"/>
    </row>
    <row r="242" spans="1:10" ht="15.75" x14ac:dyDescent="0.25">
      <c r="A242" s="226"/>
      <c r="B242" s="20"/>
      <c r="C242" s="293" t="s">
        <v>447</v>
      </c>
      <c r="D242" s="294"/>
      <c r="E242" s="294"/>
      <c r="F242" s="294"/>
      <c r="G242" s="294"/>
      <c r="H242" s="294"/>
      <c r="I242" s="295"/>
      <c r="J242" s="250"/>
    </row>
    <row r="243" spans="1:10" ht="16.5" thickBot="1" x14ac:dyDescent="0.3">
      <c r="A243" s="234"/>
      <c r="B243" s="235"/>
      <c r="C243" s="287" t="s">
        <v>34</v>
      </c>
      <c r="D243" s="288"/>
      <c r="E243" s="288"/>
      <c r="F243" s="288"/>
      <c r="G243" s="288"/>
      <c r="H243" s="288"/>
      <c r="I243" s="289"/>
      <c r="J243" s="251"/>
    </row>
    <row r="244" spans="1:10" x14ac:dyDescent="0.2">
      <c r="B244" s="261"/>
    </row>
  </sheetData>
  <protectedRanges>
    <protectedRange sqref="B31" name="Intervalo1_3"/>
    <protectedRange sqref="F98:F99" name="Intervalo1_6"/>
    <protectedRange sqref="B52:D53 B44:D45" name="Intervalo1_1_1"/>
    <protectedRange sqref="B46:B47 B50:B51 B54:B55" name="Intervalo1_2"/>
    <protectedRange sqref="C223:C225 C227:C230" name="Intervalo1_2_1"/>
    <protectedRange sqref="C220:C222 C226" name="Intervalo1_2_4"/>
    <protectedRange sqref="D220:D230" name="Intervalo1_3_1"/>
    <protectedRange sqref="E220:F230" name="Intervalo1_3_2"/>
  </protectedRanges>
  <mergeCells count="11">
    <mergeCell ref="B11:I11"/>
    <mergeCell ref="A1:J1"/>
    <mergeCell ref="A4:J4"/>
    <mergeCell ref="C5:J5"/>
    <mergeCell ref="C242:I242"/>
    <mergeCell ref="C243:I243"/>
    <mergeCell ref="C237:I237"/>
    <mergeCell ref="C238:I238"/>
    <mergeCell ref="C239:I239"/>
    <mergeCell ref="C240:I240"/>
    <mergeCell ref="C241:I241"/>
  </mergeCells>
  <pageMargins left="1.0629921259842521" right="1.0236220472440944" top="0.74803149606299213" bottom="0.82677165354330717" header="0.31496062992125984" footer="0.59055118110236227"/>
  <pageSetup paperSize="9" scale="40" fitToHeight="5" orientation="portrait" r:id="rId1"/>
  <headerFooter alignWithMargins="0">
    <oddFooter>&amp;L&amp;F&amp;RPágina &amp;P de &amp;N</oddFooter>
  </headerFooter>
  <rowBreaks count="1" manualBreakCount="1">
    <brk id="8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Plan.Orç.-R01 (CPO)Anulada</vt:lpstr>
      <vt:lpstr>Planilha Vazia</vt:lpstr>
      <vt:lpstr>'Plan.Orç.-R01 (CPO)Anulada'!Area_de_impressao</vt:lpstr>
      <vt:lpstr>'Planilha Vazia'!Area_de_impressao</vt:lpstr>
      <vt:lpstr>'Plan.Orç.-R01 (CPO)Anulada'!Titulos_de_impressao</vt:lpstr>
      <vt:lpstr>'Planilha Vazia'!Titulos_de_impressao</vt:lpstr>
    </vt:vector>
  </TitlesOfParts>
  <Company>Estec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</dc:creator>
  <cp:lastModifiedBy>Renata Maria de Almeida Orlando</cp:lastModifiedBy>
  <cp:lastPrinted>2014-05-22T20:07:40Z</cp:lastPrinted>
  <dcterms:created xsi:type="dcterms:W3CDTF">2003-01-24T19:12:21Z</dcterms:created>
  <dcterms:modified xsi:type="dcterms:W3CDTF">2014-06-10T14:07:15Z</dcterms:modified>
</cp:coreProperties>
</file>